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0.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5.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6.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7.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8.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B4'!$B$123:$BH$184</definedName>
    <definedName name="_xlnm._FilterDatabase" localSheetId="5" hidden="1">'CA DC B4'!$B$122:$BH$137</definedName>
    <definedName name="_xlnm._FilterDatabase" localSheetId="6" hidden="1">'US DC B6'!$B$128:$BH$189</definedName>
    <definedName name="_xlnm._FilterDatabase" localSheetId="7" hidden="1">'CA DC B6'!$B$121:$BH$129</definedName>
    <definedName name="_xlnm._FilterDatabase" localSheetId="8" hidden="1">'US SL B6'!$B$124:$BH$154</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S4'!$B$160:$BH$186</definedName>
    <definedName name="_xlnm._FilterDatabase" localSheetId="13" hidden="1">'CA DC S4'!$B$167:$BH$182</definedName>
    <definedName name="_xlnm._FilterDatabase" localSheetId="14" hidden="1">'US DC S6'!$B$160:$BH$186</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Fitted'!$B$110:$BH$124</definedName>
    <definedName name="_xlnm._FilterDatabase" localSheetId="20" hidden="1">'CA DC Satin Fitted'!$B$108:$BH$123</definedName>
    <definedName name="_xlnm._FilterDatabase" localSheetId="21" hidden="1">'US DC Silk Pillowcase'!$B$59:$BH$88</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Fitted'!$B$105:$BH$116</definedName>
    <definedName name="_xlnm._FilterDatabase" localSheetId="32" hidden="1">'US SL Quilt Set'!$B$59:$BH$78</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40">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color rgb="001F4E79"/>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2" fillId="0" borderId="0" applyAlignment="1" pivotButton="0" quotePrefix="0" xfId="0">
      <alignment vertical="top" wrapText="1"/>
    </xf>
    <xf numFmtId="0" fontId="33" fillId="0" borderId="0" applyAlignment="1" pivotButton="0" quotePrefix="0" xfId="0">
      <alignment vertical="top" wrapText="1"/>
    </xf>
    <xf numFmtId="0" fontId="0"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26" fillId="2" borderId="0" applyAlignment="1" pivotButton="0" quotePrefix="0" xfId="0">
      <alignment vertical="center" indent="1"/>
    </xf>
    <xf numFmtId="0" fontId="27" fillId="0" borderId="0" pivotButton="0" quotePrefix="0" xfId="0"/>
    <xf numFmtId="0" fontId="28" fillId="0" borderId="0" pivotButton="0" quotePrefix="0" xfId="0"/>
    <xf numFmtId="0" fontId="29"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0" fillId="4" borderId="0" applyAlignment="1" pivotButton="0" quotePrefix="0" xfId="0">
      <alignment horizontal="center" vertical="center" wrapText="1"/>
    </xf>
    <xf numFmtId="164" fontId="30"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30"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1" fillId="0" borderId="1" applyAlignment="1" pivotButton="0" quotePrefix="0" xfId="0">
      <alignment vertical="top" wrapText="1"/>
    </xf>
    <xf numFmtId="16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9"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8" fillId="0" borderId="0" pivotButton="0" quotePrefix="0" xfId="0"/>
    <xf numFmtId="0" fontId="33" fillId="0" borderId="0" pivotButton="0" quotePrefix="0" xfId="0"/>
    <xf numFmtId="0" fontId="24" fillId="2" borderId="1" applyAlignment="1" pivotButton="0" quotePrefix="0" xfId="0">
      <alignment vertical="top" wrapText="1"/>
    </xf>
    <xf numFmtId="0" fontId="36" fillId="0" borderId="1" applyAlignment="1" pivotButton="0" quotePrefix="0" xfId="0">
      <alignment vertical="top" wrapText="1"/>
    </xf>
    <xf numFmtId="0" fontId="36" fillId="13" borderId="1" applyAlignment="1" pivotButton="0" quotePrefix="0" xfId="0">
      <alignment vertical="top" wrapText="1"/>
    </xf>
    <xf numFmtId="0" fontId="36" fillId="16" borderId="1" applyAlignment="1" pivotButton="0" quotePrefix="0" xfId="0">
      <alignment vertical="top" wrapText="1"/>
    </xf>
    <xf numFmtId="0" fontId="36" fillId="5" borderId="1" applyAlignment="1" pivotButton="0" quotePrefix="0" xfId="0">
      <alignment vertical="top" wrapText="1"/>
    </xf>
    <xf numFmtId="0" fontId="34" fillId="0" borderId="0" pivotButton="0" quotePrefix="0" xfId="0"/>
    <xf numFmtId="164" fontId="36" fillId="0" borderId="1" applyAlignment="1" pivotButton="0" quotePrefix="0" xfId="0">
      <alignment vertical="top" wrapText="1"/>
    </xf>
    <xf numFmtId="0" fontId="39"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6" borderId="0" applyAlignment="1" pivotButton="0" quotePrefix="0" xfId="0">
      <alignment horizontal="center" vertical="center" wrapText="1"/>
    </xf>
    <xf numFmtId="0" fontId="17" fillId="7" borderId="0" applyAlignment="1" pivotButton="0" quotePrefix="0" xfId="0">
      <alignment horizontal="center" vertical="center" wrapText="1"/>
    </xf>
    <xf numFmtId="0" fontId="17" fillId="8" borderId="0" applyAlignment="1" pivotButton="0" quotePrefix="0" xfId="0">
      <alignment horizontal="center" vertical="center" wrapText="1"/>
    </xf>
    <xf numFmtId="0" fontId="17" fillId="9" borderId="0" applyAlignment="1" pivotButton="0" quotePrefix="0" xfId="0">
      <alignment horizontal="center" vertical="center" wrapText="1"/>
    </xf>
    <xf numFmtId="0" fontId="17" fillId="10" borderId="0" applyAlignment="1" pivotButton="0" quotePrefix="0" xfId="0">
      <alignment horizontal="center" vertical="center" wrapText="1"/>
    </xf>
    <xf numFmtId="0" fontId="17"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8" fillId="12" borderId="1" applyAlignment="1" pivotButton="0" quotePrefix="0" xfId="0">
      <alignment vertical="top"/>
    </xf>
    <xf numFmtId="0" fontId="18" fillId="12" borderId="1" applyAlignment="1" pivotButton="0" quotePrefix="0" xfId="0">
      <alignment vertical="top"/>
    </xf>
    <xf numFmtId="3" fontId="18" fillId="12" borderId="1" applyAlignment="1" pivotButton="0" quotePrefix="0" xfId="0">
      <alignment vertical="top"/>
    </xf>
    <xf numFmtId="0" fontId="6" fillId="0" borderId="0" applyAlignment="1" pivotButton="0" quotePrefix="0" xfId="0">
      <alignment vertical="top" wrapText="1"/>
    </xf>
    <xf numFmtId="0" fontId="20" fillId="0" borderId="0" applyAlignment="1" pivotButton="0" quotePrefix="0" xfId="0">
      <alignment vertical="top" wrapText="1"/>
    </xf>
    <xf numFmtId="0" fontId="21" fillId="5" borderId="0" pivotButton="0" quotePrefix="0" xfId="0"/>
    <xf numFmtId="0" fontId="22" fillId="0" borderId="0" applyAlignment="1" pivotButton="0" quotePrefix="0" xfId="0">
      <alignment vertical="top" wrapText="1"/>
    </xf>
    <xf numFmtId="0" fontId="23" fillId="0" borderId="0" pivotButton="0" quotePrefix="0" xfId="0"/>
    <xf numFmtId="0" fontId="24" fillId="2" borderId="0" pivotButton="0" quotePrefix="0" xfId="0"/>
    <xf numFmtId="0" fontId="25" fillId="0" borderId="0" pivotButton="0" quotePrefix="0" xfId="0"/>
    <xf numFmtId="0" fontId="37"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K128" authorId="0" shapeId="0">
      <text>
        <t>Amazon page 2026-10-14. The Command Center snapshot (2026-10-12) has $84.99.</t>
      </text>
    </comment>
    <comment ref="K129" authorId="0" shapeId="0">
      <text>
        <t>Amazon page 2026-10-14. The Command Center snapshot (2026-10-12) has $114.99.</t>
      </text>
    </comment>
    <comment ref="K133" authorId="0" shapeId="0">
      <text>
        <t>Amazon page 2026-10-14. The Command Center snapshot (2026-10-12) has $134.99.</t>
      </text>
    </comment>
    <comment ref="K144" authorId="0" shapeId="0">
      <text>
        <t>Amazon page 2026-10-14. The Command Center snapshot (2026-10-12) has $99.00.</t>
      </text>
    </comment>
    <comment ref="E146" authorId="0" shapeId="0">
      <text>
        <t>Amazon page, Oct 14, 2026. The Command Center still lists B0FH2WGKJV.</t>
      </text>
    </comment>
    <comment ref="E147" authorId="0" shapeId="0">
      <text>
        <t>Amazon page, Oct 14, 2026. The Command Center still lists B0GKBNZ8TC.</t>
      </text>
    </comment>
    <comment ref="K147" authorId="0" shapeId="0">
      <text>
        <t>Amazon page 2026-10-14. The Command Center snapshot (2026-07-20) has $129.99.</t>
      </text>
    </comment>
    <comment ref="E150" authorId="0" shapeId="0">
      <text>
        <t>Amazon page, Oct 14, 2026. The Command Center still lists B0HHRR4XGX.</t>
      </text>
    </comment>
    <comment ref="E154" authorId="0" shapeId="0">
      <text>
        <t>Amazon page, Oct 14, 2026. The Command Center still lists B0H3KP6R9B.</t>
      </text>
    </comment>
    <comment ref="E160" authorId="0" shapeId="0">
      <text>
        <t>Amazon page, Oct 14, 2026. The Command Center still lists B09PYKYCCF.</t>
      </text>
    </comment>
    <comment ref="K163" authorId="0" shapeId="0">
      <text>
        <t>Amazon page 2026-10-14. The Command Center snapshot (2026-10-12) has $76.99.</t>
      </text>
    </comment>
    <comment ref="E165" authorId="0" shapeId="0">
      <text>
        <t>Amazon page, Oct 14, 2026. The Command Center still lists B0F2TBWTZR.</t>
      </text>
    </comment>
    <comment ref="E170" authorId="0" shapeId="0">
      <text>
        <t>Amazon page, Oct 14, 2026. The Command Center still lists B0GKFHP6L6.</t>
      </text>
    </comment>
    <comment ref="K181"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Command Center mapping tier against this product.</t>
      </text>
    </comment>
    <comment ref="G122" authorId="0" shapeId="0">
      <text>
        <t>From the competitor's Amazon page (variation attributes, Oct 14, 2026) where captured; otherwise parsed from the title.</t>
      </text>
    </comment>
    <comment ref="H122" authorId="0" shapeId="0">
      <text>
        <t>From the competitor's Amazon page (variation attributes, Oct 14, 2026) where captured; otherwise parsed from the title.</t>
      </text>
    </comment>
    <comment ref="I122" authorId="0" shapeId="0">
      <text>
        <t>Variation count: Data Dive family count, else ASINsight child-ASIN count.</t>
      </text>
    </comment>
    <comment ref="J122" authorId="0" shapeId="0">
      <text>
        <t>The fewest child ASINs carrying 80% of this competitor's ASINsight impressions.</t>
      </text>
    </comment>
    <comment ref="K122" authorId="0" shapeId="0">
      <text>
        <t>Newest price for this exact ASIN: Amazon page (Oct 13-14, 2026) where checked, otherwise the Command Center snapshot. A cell comment gives the older Command Center price when they differ.</t>
      </text>
    </comment>
    <comment ref="N122" authorId="0" shapeId="0">
      <text>
        <t>How far List Price sits above price. Oct 13 page check of 154 core rivals: strikethrough shown on 2 of 3 at &lt;=12%, 13 of 13 at 12-25%, 11 of 13 above 25% - the size of the gap does not stop Amazon showing it.</t>
      </text>
    </comment>
    <comment ref="W122" authorId="0" shapeId="0">
      <text>
        <t>Date the Command Center last captured this competitor's price, BSR and reviews. Orange = older than 7 days before the build.</t>
      </text>
    </comment>
    <comment ref="AA122" authorId="0" shapeId="0">
      <text>
        <t>Impression-like 7-day figure, not clicks or sales. Blank = unmeasured.</t>
      </text>
    </comment>
    <comment ref="AF122" authorId="0" shapeId="0">
      <text>
        <t>Share of their traffic on keywords where they hold a Sponsored Products placement.</t>
      </text>
    </comment>
    <comment ref="AJ122" authorId="0" shapeId="0">
      <text>
        <t>Keywords both they and we rank on (our latest ASINsight export).</t>
      </text>
    </comment>
    <comment ref="AP122" authorId="0" shapeId="0">
      <text>
        <t>Organic visibility score Jun 23-26 vs Jun 1-20, 2026 (baseline score 5+).</t>
      </text>
    </comment>
    <comment ref="AR122" authorId="0" shapeId="0">
      <text>
        <t>From the Amazon page check (str_check_&lt;date&gt;.csv). Blank = not checked yet (P2 rows).</t>
      </text>
    </comment>
    <comment ref="BA122" authorId="0" shapeId="0">
      <text>
        <t>Keepa: median daily lowest price (Buy Box, Lightning Deal or Prime Exclusive), Nov 1-19, 2025, end-of-day state - same basis as the BFCM low.</t>
      </text>
    </comment>
    <comment ref="BB122" authorId="0" shapeId="0">
      <text>
        <t>Keepa: lowest of Buy Box, Lightning Deal and Prime Exclusive price, Nov 20 - Dec 1, 2025. Coupons not netted (see Notes).</t>
      </text>
    </comment>
    <comment ref="BD122" authorId="0" shapeId="0">
      <text>
        <t>Keepa: median daily sales rank, Nov 1-19, 2025.</t>
      </text>
    </comment>
    <comment ref="BE122"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8" authorId="0" shapeId="0">
      <text>
        <t>Live product image (Excel 365 / Google Sheets IMAGE). 'COMING SOON' picture = no verified image yet; see Data Gaps.</t>
      </text>
    </comment>
    <comment ref="D128" authorId="0" shapeId="0">
      <text>
        <t>Command Center mapping tier against this product.</t>
      </text>
    </comment>
    <comment ref="G128" authorId="0" shapeId="0">
      <text>
        <t>From the competitor's Amazon page (variation attributes, Oct 14, 2026) where captured; otherwise parsed from the title.</t>
      </text>
    </comment>
    <comment ref="H128" authorId="0" shapeId="0">
      <text>
        <t>From the competitor's Amazon page (variation attributes, Oct 14, 2026) where captured; otherwise parsed from the title.</t>
      </text>
    </comment>
    <comment ref="I128" authorId="0" shapeId="0">
      <text>
        <t>Variation count: Data Dive family count, else ASINsight child-ASIN count.</t>
      </text>
    </comment>
    <comment ref="J128" authorId="0" shapeId="0">
      <text>
        <t>The fewest child ASINs carrying 80% of this competitor's ASINsight impressions.</t>
      </text>
    </comment>
    <comment ref="K128" authorId="0" shapeId="0">
      <text>
        <t>Newest price for this exact ASIN: Amazon page (Oct 13-14, 2026) where checked, otherwise the Command Center snapshot. A cell comment gives the older Command Center price when they differ.</t>
      </text>
    </comment>
    <comment ref="N128" authorId="0" shapeId="0">
      <text>
        <t>How far List Price sits above price. Oct 13 page check of 154 core rivals: strikethrough shown on 2 of 3 at &lt;=12%, 13 of 13 at 12-25%, 11 of 13 above 25% - the size of the gap does not stop Amazon showing it.</t>
      </text>
    </comment>
    <comment ref="W128" authorId="0" shapeId="0">
      <text>
        <t>Date the Command Center last captured this competitor's price, BSR and reviews. Orange = older than 7 days before the build.</t>
      </text>
    </comment>
    <comment ref="AA128" authorId="0" shapeId="0">
      <text>
        <t>Impression-like 7-day figure, not clicks or sales. Blank = unmeasured.</t>
      </text>
    </comment>
    <comment ref="AF128" authorId="0" shapeId="0">
      <text>
        <t>Share of their traffic on keywords where they hold a Sponsored Products placement.</t>
      </text>
    </comment>
    <comment ref="AJ128" authorId="0" shapeId="0">
      <text>
        <t>Keywords both they and we rank on (our latest ASINsight export).</t>
      </text>
    </comment>
    <comment ref="AP128" authorId="0" shapeId="0">
      <text>
        <t>Organic visibility score Jun 23-26 vs Jun 1-20, 2026 (baseline score 5+).</t>
      </text>
    </comment>
    <comment ref="AR128" authorId="0" shapeId="0">
      <text>
        <t>From the Amazon page check (str_check_&lt;date&gt;.csv). Blank = not checked yet (P2 rows).</t>
      </text>
    </comment>
    <comment ref="BA128" authorId="0" shapeId="0">
      <text>
        <t>Keepa: median daily lowest price (Buy Box, Lightning Deal or Prime Exclusive), Nov 1-19, 2025, end-of-day state - same basis as the BFCM low.</t>
      </text>
    </comment>
    <comment ref="BB128" authorId="0" shapeId="0">
      <text>
        <t>Keepa: lowest of Buy Box, Lightning Deal and Prime Exclusive price, Nov 20 - Dec 1, 2025. Coupons not netted (see Notes).</t>
      </text>
    </comment>
    <comment ref="BD128" authorId="0" shapeId="0">
      <text>
        <t>Keepa: median daily sales rank, Nov 1-19, 2025.</t>
      </text>
    </comment>
    <comment ref="BE128" authorId="0" shapeId="0">
      <text>
        <t>Keepa: median daily sales rank, Nov 20 - Dec 1, 2025. BSR lift = pre / BFCM (above 1 = sold faster).</t>
      </text>
    </comment>
    <comment ref="K133" authorId="0" shapeId="0">
      <text>
        <t>Amazon page 2026-10-14. The Command Center snapshot (2026-10-12) has $84.99.</t>
      </text>
    </comment>
    <comment ref="K134" authorId="0" shapeId="0">
      <text>
        <t>Amazon page 2026-10-14. The Command Center snapshot (2026-10-12) has $114.99.</t>
      </text>
    </comment>
    <comment ref="K138" authorId="0" shapeId="0">
      <text>
        <t>Amazon page 2026-10-14. The Command Center snapshot (2026-10-12) has $134.99.</t>
      </text>
    </comment>
    <comment ref="K149" authorId="0" shapeId="0">
      <text>
        <t>Amazon page 2026-10-14. The Command Center snapshot (2026-10-12) has $99.00.</t>
      </text>
    </comment>
    <comment ref="E151" authorId="0" shapeId="0">
      <text>
        <t>Amazon page, Oct 14, 2026. The Command Center still lists B0FH2WGKJV.</t>
      </text>
    </comment>
    <comment ref="E152" authorId="0" shapeId="0">
      <text>
        <t>Amazon page, Oct 14, 2026. The Command Center still lists B0GKBNZ8TC.</t>
      </text>
    </comment>
    <comment ref="K152" authorId="0" shapeId="0">
      <text>
        <t>Amazon page 2026-10-14. The Command Center snapshot (2026-07-20) has $129.99.</t>
      </text>
    </comment>
    <comment ref="E154" authorId="0" shapeId="0">
      <text>
        <t>Amazon page, Oct 14, 2026. The Command Center still lists B0HHRR4XGX.</t>
      </text>
    </comment>
    <comment ref="E159" authorId="0" shapeId="0">
      <text>
        <t>Amazon page, Oct 14, 2026. The Command Center still lists B0H3KP6R9B.</t>
      </text>
    </comment>
    <comment ref="E165" authorId="0" shapeId="0">
      <text>
        <t>Amazon page, Oct 14, 2026. The Command Center still lists B09PYKYCCF.</t>
      </text>
    </comment>
    <comment ref="K168" authorId="0" shapeId="0">
      <text>
        <t>Amazon page 2026-10-14. The Command Center snapshot (2026-10-12) has $76.99.</t>
      </text>
    </comment>
    <comment ref="E170" authorId="0" shapeId="0">
      <text>
        <t>Amazon page, Oct 14, 2026. The Command Center still lists B0F2TBWTZR.</t>
      </text>
    </comment>
    <comment ref="E174" authorId="0" shapeId="0">
      <text>
        <t>Amazon page, Oct 14, 2026. The Command Center still lists B0GKFHP6L6.</t>
      </text>
    </comment>
    <comment ref="K187"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4" authorId="0" shapeId="0">
      <text>
        <t>Live product image (Excel 365 / Google Sheets IMAGE). 'COMING SOON' picture = no verified image yet;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K124" authorId="0" shapeId="0">
      <text>
        <t>Newest price for this exact ASIN: Amazon page (Oct 13-14, 2026) where checked, otherwise the Command Center snapshot. A cell comment gives the older Command Center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E127" authorId="0" shapeId="0">
      <text>
        <t>Amazon page, Oct 14, 2026. The Command Center still lists B0FH2WGKJV.</t>
      </text>
    </comment>
    <comment ref="E128" authorId="0" shapeId="0">
      <text>
        <t>Amazon page, Oct 14, 2026. The Command Center still lists B0GKBNZ8TC.</t>
      </text>
    </comment>
    <comment ref="K128" authorId="0" shapeId="0">
      <text>
        <t>Amazon page 2026-10-14. The Command Center snapshot (2026-07-20) has $129.99.</t>
      </text>
    </comment>
    <comment ref="K129" authorId="0" shapeId="0">
      <text>
        <t>Amazon page 2026-10-14. The Command Center snapshot (2026-10-12) has $84.99.</t>
      </text>
    </comment>
    <comment ref="K133" authorId="0" shapeId="0">
      <text>
        <t>Amazon page 2026-10-14. The Command Center snapshot (2026-10-12) has $134.99.</t>
      </text>
    </comment>
    <comment ref="E137" authorId="0" shapeId="0">
      <text>
        <t>Amazon page, Oct 14, 2026. The Command Center still lists B0H3KP6R9B.</t>
      </text>
    </comment>
    <comment ref="E143" authorId="0" shapeId="0">
      <text>
        <t>Amazon page, Oct 14, 2026. The Command Center still lists B09PYKYCCF.</t>
      </text>
    </comment>
    <comment ref="K146" authorId="0" shapeId="0">
      <text>
        <t>Amazon page 2026-10-14. The Command Center snapshot (2026-10-12) has $76.99.</t>
      </text>
    </comment>
    <comment ref="E148" authorId="0" shapeId="0">
      <text>
        <t>Amazon page, Oct 14, 2026. The Command Center still lists B0F2TBWTZR.</t>
      </text>
    </comment>
    <comment ref="E153"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60" authorId="0" shapeId="0">
      <text>
        <t>Live product image (Excel 365 / Google Sheets IMAGE). 'COMING SOON' picture = no verified image yet; see Data Gaps.</t>
      </text>
    </comment>
    <comment ref="D160" authorId="0" shapeId="0">
      <text>
        <t>Command Center mapping tier against this product.</t>
      </text>
    </comment>
    <comment ref="G160" authorId="0" shapeId="0">
      <text>
        <t>From the competitor's Amazon page (variation attributes, Oct 14, 2026) where captured; otherwise parsed from the title.</t>
      </text>
    </comment>
    <comment ref="H160" authorId="0" shapeId="0">
      <text>
        <t>From the competitor's Amazon page (variation attributes, Oct 14, 2026) where captured; otherwise parsed from the title.</t>
      </text>
    </comment>
    <comment ref="I160" authorId="0" shapeId="0">
      <text>
        <t>Variation count: Data Dive family count, else ASINsight child-ASIN count.</t>
      </text>
    </comment>
    <comment ref="J160" authorId="0" shapeId="0">
      <text>
        <t>The fewest child ASINs carrying 80% of this competitor's ASINsight impressions.</t>
      </text>
    </comment>
    <comment ref="K160" authorId="0" shapeId="0">
      <text>
        <t>Newest price for this exact ASIN: Amazon page (Oct 13-14, 2026) where checked, otherwise the Command Center snapshot. A cell comment gives the older Command Center price when they differ.</t>
      </text>
    </comment>
    <comment ref="N160" authorId="0" shapeId="0">
      <text>
        <t>How far List Price sits above price. Oct 13 page check of 154 core rivals: strikethrough shown on 2 of 3 at &lt;=12%, 13 of 13 at 12-25%, 11 of 13 above 25% - the size of the gap does not stop Amazon showing it.</t>
      </text>
    </comment>
    <comment ref="W160" authorId="0" shapeId="0">
      <text>
        <t>Date the Command Center last captured this competitor's price, BSR and reviews. Orange = older than 7 days before the build.</t>
      </text>
    </comment>
    <comment ref="AA160" authorId="0" shapeId="0">
      <text>
        <t>Impression-like 7-day figure, not clicks or sales. Blank = unmeasured.</t>
      </text>
    </comment>
    <comment ref="AF160" authorId="0" shapeId="0">
      <text>
        <t>Share of their traffic on keywords where they hold a Sponsored Products placement.</t>
      </text>
    </comment>
    <comment ref="AJ160" authorId="0" shapeId="0">
      <text>
        <t>Keywords both they and we rank on (our latest ASINsight export).</t>
      </text>
    </comment>
    <comment ref="AP160" authorId="0" shapeId="0">
      <text>
        <t>Organic visibility score Jun 23-26 vs Jun 1-20, 2026 (baseline score 5+).</t>
      </text>
    </comment>
    <comment ref="AR160" authorId="0" shapeId="0">
      <text>
        <t>From the Amazon page check (str_check_&lt;date&gt;.csv). Blank = not checked yet (P2 rows).</t>
      </text>
    </comment>
    <comment ref="BA160" authorId="0" shapeId="0">
      <text>
        <t>Keepa: median daily lowest price (Buy Box, Lightning Deal or Prime Exclusive), Nov 1-19, 2025, end-of-day state - same basis as the BFCM low.</t>
      </text>
    </comment>
    <comment ref="BB160" authorId="0" shapeId="0">
      <text>
        <t>Keepa: lowest of Buy Box, Lightning Deal and Prime Exclusive price, Nov 20 - Dec 1, 2025. Coupons not netted (see Notes).</t>
      </text>
    </comment>
    <comment ref="BD160" authorId="0" shapeId="0">
      <text>
        <t>Keepa: median daily sales rank, Nov 1-19, 2025.</t>
      </text>
    </comment>
    <comment ref="BE160" authorId="0" shapeId="0">
      <text>
        <t>Keepa: median daily sales rank, Nov 20 - Dec 1, 2025. BSR lift = pre / BFCM (above 1 = sold faster).</t>
      </text>
    </comment>
    <comment ref="K169" authorId="0" shapeId="0">
      <text>
        <t>Amazon page 2026-10-14. The Command Center snapshot (2026-10-12) has $27.99.</t>
      </text>
    </comment>
    <comment ref="K174" authorId="0" shapeId="0">
      <text>
        <t>Amazon page 2026-10-14. The Command Center snapshot (2026-10-12) has $21.99.</t>
      </text>
    </comment>
    <comment ref="K175" authorId="0" shapeId="0">
      <text>
        <t>Amazon page 2026-10-14. The Command Center snapshot (2026-10-12) has $28.99.</t>
      </text>
    </comment>
    <comment ref="K176"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'COMING SOON' picture = no verified image yet;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60" authorId="0" shapeId="0">
      <text>
        <t>Live product image (Excel 365 / Google Sheets IMAGE). 'COMING SOON' picture = no verified image yet; see Data Gaps.</t>
      </text>
    </comment>
    <comment ref="D160" authorId="0" shapeId="0">
      <text>
        <t>Command Center mapping tier against this product.</t>
      </text>
    </comment>
    <comment ref="G160" authorId="0" shapeId="0">
      <text>
        <t>From the competitor's Amazon page (variation attributes, Oct 14, 2026) where captured; otherwise parsed from the title.</t>
      </text>
    </comment>
    <comment ref="H160" authorId="0" shapeId="0">
      <text>
        <t>From the competitor's Amazon page (variation attributes, Oct 14, 2026) where captured; otherwise parsed from the title.</t>
      </text>
    </comment>
    <comment ref="I160" authorId="0" shapeId="0">
      <text>
        <t>Variation count: Data Dive family count, else ASINsight child-ASIN count.</t>
      </text>
    </comment>
    <comment ref="J160" authorId="0" shapeId="0">
      <text>
        <t>The fewest child ASINs carrying 80% of this competitor's ASINsight impressions.</t>
      </text>
    </comment>
    <comment ref="K160" authorId="0" shapeId="0">
      <text>
        <t>Newest price for this exact ASIN: Amazon page (Oct 13-14, 2026) where checked, otherwise the Command Center snapshot. A cell comment gives the older Command Center price when they differ.</t>
      </text>
    </comment>
    <comment ref="N160" authorId="0" shapeId="0">
      <text>
        <t>How far List Price sits above price. Oct 13 page check of 154 core rivals: strikethrough shown on 2 of 3 at &lt;=12%, 13 of 13 at 12-25%, 11 of 13 above 25% - the size of the gap does not stop Amazon showing it.</t>
      </text>
    </comment>
    <comment ref="W160" authorId="0" shapeId="0">
      <text>
        <t>Date the Command Center last captured this competitor's price, BSR and reviews. Orange = older than 7 days before the build.</t>
      </text>
    </comment>
    <comment ref="AA160" authorId="0" shapeId="0">
      <text>
        <t>Impression-like 7-day figure, not clicks or sales. Blank = unmeasured.</t>
      </text>
    </comment>
    <comment ref="AF160" authorId="0" shapeId="0">
      <text>
        <t>Share of their traffic on keywords where they hold a Sponsored Products placement.</t>
      </text>
    </comment>
    <comment ref="AJ160" authorId="0" shapeId="0">
      <text>
        <t>Keywords both they and we rank on (our latest ASINsight export).</t>
      </text>
    </comment>
    <comment ref="AP160" authorId="0" shapeId="0">
      <text>
        <t>Organic visibility score Jun 23-26 vs Jun 1-20, 2026 (baseline score 5+).</t>
      </text>
    </comment>
    <comment ref="AR160" authorId="0" shapeId="0">
      <text>
        <t>From the Amazon page check (str_check_&lt;date&gt;.csv). Blank = not checked yet (P2 rows).</t>
      </text>
    </comment>
    <comment ref="BA160" authorId="0" shapeId="0">
      <text>
        <t>Keepa: median daily lowest price (Buy Box, Lightning Deal or Prime Exclusive), Nov 1-19, 2025, end-of-day state - same basis as the BFCM low.</t>
      </text>
    </comment>
    <comment ref="BB160" authorId="0" shapeId="0">
      <text>
        <t>Keepa: lowest of Buy Box, Lightning Deal and Prime Exclusive price, Nov 20 - Dec 1, 2025. Coupons not netted (see Notes).</t>
      </text>
    </comment>
    <comment ref="BD160" authorId="0" shapeId="0">
      <text>
        <t>Keepa: median daily sales rank, Nov 1-19, 2025.</t>
      </text>
    </comment>
    <comment ref="BE160" authorId="0" shapeId="0">
      <text>
        <t>Keepa: median daily sales rank, Nov 20 - Dec 1, 2025. BSR lift = pre / BFCM (above 1 = sold faster).</t>
      </text>
    </comment>
    <comment ref="K172" authorId="0" shapeId="0">
      <text>
        <t>Amazon page 2026-10-14. The Command Center snapshot (2026-10-12) has $27.99.</t>
      </text>
    </comment>
    <comment ref="K180" authorId="0" shapeId="0">
      <text>
        <t>Amazon page 2026-10-14. The Command Center snapshot (2026-10-12) has $21.99.</t>
      </text>
    </comment>
    <comment ref="K181" authorId="0" shapeId="0">
      <text>
        <t>Amazon page 2026-10-14. The Command Center snapshot (2026-10-12) has $28.99.</t>
      </text>
    </comment>
    <comment ref="K182"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'COMING SOON' picture = no verified image yet;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0" authorId="0" shapeId="0">
      <text>
        <t>Live product image (Excel 365 / Google Sheets IMAGE). 'COMING SOON' picture = no verified image yet; see Data Gaps.</t>
      </text>
    </comment>
    <comment ref="D110" authorId="0" shapeId="0">
      <text>
        <t>Command Center mapping tier against this product.</t>
      </text>
    </comment>
    <comment ref="G110" authorId="0" shapeId="0">
      <text>
        <t>From the competitor's Amazon page (variation attributes, Oct 14, 2026) where captured; otherwise parsed from the title.</t>
      </text>
    </comment>
    <comment ref="H110" authorId="0" shapeId="0">
      <text>
        <t>From the competitor's Amazon page (variation attributes, Oct 14, 2026) where captured; otherwise parsed from the title.</t>
      </text>
    </comment>
    <comment ref="I110" authorId="0" shapeId="0">
      <text>
        <t>Variation count: Data Dive family count, else ASINsight child-ASIN count.</t>
      </text>
    </comment>
    <comment ref="J110" authorId="0" shapeId="0">
      <text>
        <t>The fewest child ASINs carrying 80% of this competitor's ASINsight impressions.</t>
      </text>
    </comment>
    <comment ref="K110" authorId="0" shapeId="0">
      <text>
        <t>Newest price for this exact ASIN: Amazon page (Oct 13-14, 2026) where checked, otherwise the Command Center snapshot. A cell comment gives the older Command Center price when they differ.</t>
      </text>
    </comment>
    <comment ref="N110" authorId="0" shapeId="0">
      <text>
        <t>How far List Price sits above price. Oct 13 page check of 154 core rivals: strikethrough shown on 2 of 3 at &lt;=12%, 13 of 13 at 12-25%, 11 of 13 above 25% - the size of the gap does not stop Amazon showing it.</t>
      </text>
    </comment>
    <comment ref="W110" authorId="0" shapeId="0">
      <text>
        <t>Date the Command Center last captured this competitor's price, BSR and reviews. Orange = older than 7 days before the build.</t>
      </text>
    </comment>
    <comment ref="AA110" authorId="0" shapeId="0">
      <text>
        <t>Impression-like 7-day figure, not clicks or sales. Blank = unmeasured.</t>
      </text>
    </comment>
    <comment ref="AF110" authorId="0" shapeId="0">
      <text>
        <t>Share of their traffic on keywords where they hold a Sponsored Products placement.</t>
      </text>
    </comment>
    <comment ref="AJ110" authorId="0" shapeId="0">
      <text>
        <t>Keywords both they and we rank on (our latest ASINsight export).</t>
      </text>
    </comment>
    <comment ref="AP110" authorId="0" shapeId="0">
      <text>
        <t>Organic visibility score Jun 23-26 vs Jun 1-20, 2026 (baseline score 5+).</t>
      </text>
    </comment>
    <comment ref="AR110" authorId="0" shapeId="0">
      <text>
        <t>From the Amazon page check (str_check_&lt;date&gt;.csv). Blank = not checked yet (P2 rows).</t>
      </text>
    </comment>
    <comment ref="BA110" authorId="0" shapeId="0">
      <text>
        <t>Keepa: median daily lowest price (Buy Box, Lightning Deal or Prime Exclusive), Nov 1-19, 2025, end-of-day state - same basis as the BFCM low.</t>
      </text>
    </comment>
    <comment ref="BB110" authorId="0" shapeId="0">
      <text>
        <t>Keepa: lowest of Buy Box, Lightning Deal and Prime Exclusive price, Nov 20 - Dec 1, 2025. Coupons not netted (see Notes).</t>
      </text>
    </comment>
    <comment ref="BD110" authorId="0" shapeId="0">
      <text>
        <t>Keepa: median daily sales rank, Nov 1-19, 2025.</t>
      </text>
    </comment>
    <comment ref="BE110" authorId="0" shapeId="0">
      <text>
        <t>Keepa: median daily sales rank, Nov 20 - Dec 1, 2025. BSR lift = pre / BFCM (above 1 = sold faster).</t>
      </text>
    </comment>
    <comment ref="E120"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9" authorId="0" shapeId="0">
      <text>
        <t>Live product image (Excel 365 / Google Sheets IMAGE). 'COMING SOON' picture = no verified image yet;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K59" authorId="0" shapeId="0">
      <text>
        <t>Newest price for this exact ASIN: Amazon page (Oct 13-14, 2026) where checked, otherwise the Command Center snapshot. A cell comment gives the older Command Center price when they differ.</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 ref="K74" authorId="0" shapeId="0">
      <text>
        <t>Amazon page 2026-10-14. The Command Center snapshot (2026-10-12) has $11.95.</t>
      </text>
    </comment>
    <comment ref="K76"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'COMING SOON' picture = no verified image yet;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'COMING SOON' picture = no verified image yet;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'COMING SOON' picture = no verified image yet;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5" authorId="0" shapeId="0">
      <text>
        <t>Live product image (Excel 365 / Google Sheets IMAGE). 'COMING SOON' picture = no verified image yet;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9" authorId="0" shapeId="0">
      <text>
        <t>Live product image (Excel 365 / Google Sheets IMAGE). 'COMING SOON' picture = no verified image yet;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K59" authorId="0" shapeId="0">
      <text>
        <t>Newest price for this exact ASIN: Amazon page (Oct 13-14, 2026) where checked, otherwise the Command Center snapshot. A cell comment gives the older Command Center price when they differ.</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 ref="K77" authorId="0" shapeId="0">
      <text>
        <t>Amazon page 2026-10-14. The Command Center snapshot (2026-10-12) has $35.88.</t>
      </text>
    </comment>
    <comment ref="K78"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'COMING SOON' picture = no verified image yet;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'COMING SOON' picture = no verified image yet;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150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171</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155</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176</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69</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Xray price for this child</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Xray price for this child</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c r="L20" s="32" t="inlineStr">
        <is>
          <t>No Xray price for this child</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Xray price for this child</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Xray price for this child</t>
        </is>
      </c>
      <c r="M25" s="32" t="n">
        <v>42</v>
      </c>
      <c r="N25" s="32" t="n">
        <v>38</v>
      </c>
      <c r="O25" s="34" t="n"/>
      <c r="P25" s="35" t="n"/>
      <c r="Q25" s="32" t="inlineStr">
        <is>
          <t>Launch</t>
        </is>
      </c>
      <c r="R25" s="40"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c r="L27" s="32" t="inlineStr">
        <is>
          <t>No Xray price for this child</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c r="L28" s="32" t="inlineStr">
        <is>
          <t>No Xray price for this child</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c r="L32" s="32" t="inlineStr">
        <is>
          <t>No Xray price for this child</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c r="L33" s="32" t="inlineStr">
        <is>
          <t>No Xray price for this child</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6"/>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1" t="inlineStr">
        <is>
          <t>Data Check - how current and how accurate every number is</t>
        </is>
      </c>
    </row>
    <row r="2">
      <c r="A2" s="42" t="inlineStr">
        <is>
          <t>Read this before quoting a number. Orange cells in product tabs = stale value; 'STALE' in Comparison basis = our price there is the Command Center fee-feed price, not today's.</t>
        </is>
      </c>
    </row>
    <row r="4">
      <c r="A4" s="43" t="inlineStr">
        <is>
          <t>Data</t>
        </is>
      </c>
      <c r="B4" s="43" t="inlineStr">
        <is>
          <t>Source</t>
        </is>
      </c>
      <c r="C4" s="43" t="inlineStr">
        <is>
          <t>As of</t>
        </is>
      </c>
      <c r="D4" s="43" t="inlineStr">
        <is>
          <t>Rows</t>
        </is>
      </c>
      <c r="E4" s="43" t="inlineStr">
        <is>
          <t>Status</t>
        </is>
      </c>
      <c r="F4" s="43" t="inlineStr"/>
      <c r="G4" s="43" t="inlineStr">
        <is>
          <t>Notes</t>
        </is>
      </c>
    </row>
    <row r="5">
      <c r="A5" s="44" t="inlineStr">
        <is>
          <t>Competitor price, List Price, BSR, rating, reviews</t>
        </is>
      </c>
      <c r="B5" s="44" t="inlineStr">
        <is>
          <t>Command Center</t>
        </is>
      </c>
      <c r="C5" s="44" t="inlineStr">
        <is>
          <t>2026-10-12</t>
        </is>
      </c>
      <c r="D5" s="44" t="n">
        <v>631</v>
      </c>
      <c r="E5" s="45" t="inlineStr">
        <is>
          <t>Current</t>
        </is>
      </c>
      <c r="F5" s="44" t="inlineStr"/>
      <c r="G5" s="44" t="inlineStr">
        <is>
          <t>18 US rows are older (Jul 20 - Sep 21, 2026) and are shaded orange in the 'Snapshot date' column. Price is for the one tracked child ASIN; Amazon search may show another size of the same listing.</t>
        </is>
      </c>
    </row>
    <row r="6">
      <c r="A6" s="44" t="inlineStr">
        <is>
          <t>Strikethrough now (shown / label / price)</t>
        </is>
      </c>
      <c r="B6" s="44" t="inlineStr">
        <is>
          <t>Amazon page check</t>
        </is>
      </c>
      <c r="C6" s="44" t="inlineStr">
        <is>
          <t>2026-10-13</t>
        </is>
      </c>
      <c r="D6" s="44" t="n">
        <v>371</v>
      </c>
      <c r="E6" s="45" t="inlineStr">
        <is>
          <t>Current</t>
        </is>
      </c>
      <c r="F6" s="44" t="inlineStr"/>
      <c r="G6" s="44"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4" t="inlineStr">
        <is>
          <t>Our price now</t>
        </is>
      </c>
      <c r="B7" s="44" t="inlineStr">
        <is>
          <t>Helium 10 Xray US (Oct 13) and Amazon.ca (Oct 14) / SellerBoard listing price (US gap-fill) / Data Dive / Amazon page check</t>
        </is>
      </c>
      <c r="C7" s="44" t="inlineStr">
        <is>
          <t>2026-10-13 to 14</t>
        </is>
      </c>
      <c r="D7" s="44" t="n">
        <v>1157</v>
      </c>
      <c r="E7" s="46" t="inlineStr">
        <is>
          <t>Partial</t>
        </is>
      </c>
      <c r="F7" s="44" t="inlineStr"/>
      <c r="G7" s="44"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4" t="inlineStr">
        <is>
          <t>Our variations not buyable on Amazon</t>
        </is>
      </c>
      <c r="B8" s="44" t="inlineStr">
        <is>
          <t>Amazon.ca page check (agent)</t>
        </is>
      </c>
      <c r="C8" s="44" t="inlineStr">
        <is>
          <t>2026-10-14</t>
        </is>
      </c>
      <c r="D8" s="44" t="n">
        <v>18</v>
      </c>
      <c r="E8" s="46" t="inlineStr">
        <is>
          <t>Check</t>
        </is>
      </c>
      <c r="F8" s="44" t="inlineStr"/>
      <c r="G8" s="44"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4" t="inlineStr">
        <is>
          <t>Our listings outside the main review family</t>
        </is>
      </c>
      <c r="B9" s="44" t="inlineStr">
        <is>
          <t>Helium 10 Xray</t>
        </is>
      </c>
      <c r="C9" s="44" t="inlineStr">
        <is>
          <t>2026-10-13</t>
        </is>
      </c>
      <c r="D9" s="44" t="n">
        <v>9</v>
      </c>
      <c r="E9" s="46" t="inlineStr">
        <is>
          <t>Check</t>
        </is>
      </c>
      <c r="F9" s="44" t="inlineStr"/>
      <c r="G9" s="44"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4" t="inlineStr">
        <is>
          <t>SKU reassignment vs Command Center</t>
        </is>
      </c>
      <c r="B10" s="44" t="inlineStr">
        <is>
          <t>Tracker rule (Shayan, Oct 14)</t>
        </is>
      </c>
      <c r="C10" s="44" t="inlineStr">
        <is>
          <t>2026-10-14</t>
        </is>
      </c>
      <c r="D10" s="44" t="n">
        <v>7</v>
      </c>
      <c r="E10" s="45" t="inlineStr">
        <is>
          <t>Fixed</t>
        </is>
      </c>
      <c r="F10" s="44" t="inlineStr"/>
      <c r="G10" s="44" t="inlineStr">
        <is>
          <t>DC S4 and DC S6 SKU counts and 28-day units differ from the Command Center by 7 SKUs / 7 units. Blended price and contribution are still the Command Center's (effect under 1%).</t>
        </is>
      </c>
    </row>
    <row r="11">
      <c r="A11" s="44" t="inlineStr">
        <is>
          <t>Same-size price gap vs ours</t>
        </is>
      </c>
      <c r="B11" s="44" t="inlineStr">
        <is>
          <t>Calculated</t>
        </is>
      </c>
      <c r="C11" s="44" t="inlineStr">
        <is>
          <t>2026-10-13</t>
        </is>
      </c>
      <c r="D11" s="44" t="n">
        <v>357</v>
      </c>
      <c r="E11" s="46" t="inlineStr">
        <is>
          <t>Partial</t>
        </is>
      </c>
      <c r="F11" s="44" t="inlineStr"/>
      <c r="G11" s="44" t="inlineStr">
        <is>
          <t>357 of 661 US competitor rows compare against our live price; the rest are marked STALE in 'Comparison basis'.</t>
        </is>
      </c>
    </row>
    <row r="12">
      <c r="A12" s="44" t="inlineStr">
        <is>
          <t>Our contribution / break-even ACoS</t>
        </is>
      </c>
      <c r="B12" s="44" t="inlineStr">
        <is>
          <t>Command Center</t>
        </is>
      </c>
      <c r="C12" s="44" t="inlineStr">
        <is>
          <t>2026-03-30 prices</t>
        </is>
      </c>
      <c r="D12" s="44" t="n"/>
      <c r="E12" s="47" t="inlineStr">
        <is>
          <t>Stale</t>
        </is>
      </c>
      <c r="F12" s="44" t="inlineStr"/>
      <c r="G12" s="44" t="inlineStr">
        <is>
          <t>Calculated on the Mar 2026 fee-feed price. Where our live price is higher (e.g. B6 King +$10, B4 King +$15) contribution and break-even ACoS are understated.</t>
        </is>
      </c>
    </row>
    <row r="13">
      <c r="A13" s="44" t="inlineStr">
        <is>
          <t>Our parent ASIN</t>
        </is>
      </c>
      <c r="B13" s="44" t="inlineStr">
        <is>
          <t>Data Dive seller catalog</t>
        </is>
      </c>
      <c r="C13" s="44" t="inlineStr">
        <is>
          <t>2026-10-13</t>
        </is>
      </c>
      <c r="D13" s="44" t="n">
        <v>33</v>
      </c>
      <c r="E13" s="45" t="inlineStr">
        <is>
          <t>Fixed</t>
        </is>
      </c>
      <c r="F13" s="44" t="inlineStr"/>
      <c r="G13" s="44" t="inlineStr">
        <is>
          <t>Command Center's 'parent_asin' is one of our child ASINs. Tabs now show the Amazon parent from the catalog; the Command Center ASIN is listed separately.</t>
        </is>
      </c>
    </row>
    <row r="14">
      <c r="A14" s="44" t="inlineStr">
        <is>
          <t>Our BFCM 2025 ad spend, ad sales, ACoS, TACoS, orders</t>
        </is>
      </c>
      <c r="B14" s="44" t="inlineStr">
        <is>
          <t>Command Center</t>
        </is>
      </c>
      <c r="C14" s="44" t="inlineStr">
        <is>
          <t>2025-11-20 to 2025-12-01</t>
        </is>
      </c>
      <c r="D14" s="44" t="n"/>
      <c r="E14" s="45" t="inlineStr">
        <is>
          <t>Exact</t>
        </is>
      </c>
      <c r="F14" s="44" t="inlineStr"/>
      <c r="G14" s="44" t="inlineStr">
        <is>
          <t>Ad metrics as reported by the Command Center.</t>
        </is>
      </c>
    </row>
    <row r="15">
      <c r="A15" s="44" t="inlineStr">
        <is>
          <t>Our BFCM 2025 total sales and lift</t>
        </is>
      </c>
      <c r="B15" s="44" t="inlineStr">
        <is>
          <t>SellerBoard (Ecotero account), via connector</t>
        </is>
      </c>
      <c r="C15" s="44" t="inlineStr">
        <is>
          <t>Oct 21 - Dec 31, 2025</t>
        </is>
      </c>
      <c r="D15" s="44" t="n">
        <v>127</v>
      </c>
      <c r="E15" s="45" t="inlineStr">
        <is>
          <t>Exact</t>
        </is>
      </c>
      <c r="F15" s="44" t="inlineStr"/>
      <c r="G15" s="44"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4" t="inlineStr">
        <is>
          <t>Our BFCM 2025 deals</t>
        </is>
      </c>
      <c r="B16" s="44" t="inlineStr">
        <is>
          <t>DataHub promotions (agent, v2), checked against Command Center amazon_promotions / amazon_coupons</t>
        </is>
      </c>
      <c r="C16" s="44" t="inlineStr">
        <is>
          <t>2026-10-14</t>
        </is>
      </c>
      <c r="D16" s="44" t="n"/>
      <c r="E16" s="45" t="inlineStr">
        <is>
          <t>Exact</t>
        </is>
      </c>
      <c r="F16" s="44" t="inlineStr"/>
      <c r="G16" s="44"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4" t="inlineStr">
        <is>
          <t>How Amazon sets the BFCM deal price</t>
        </is>
      </c>
      <c r="B17" s="44" t="inlineStr">
        <is>
          <t>Slack: Umair Tahir, #6-pc-bamboo 2026-10-13 and #4pc-bamboo-sheets 2026-10-15; Erik Fisher, 2026-10-15</t>
        </is>
      </c>
      <c r="C17" s="44" t="inlineStr">
        <is>
          <t>2026-10-15</t>
        </is>
      </c>
      <c r="D17" s="44" t="n"/>
      <c r="E17" s="45" t="inlineStr">
        <is>
          <t>Current</t>
        </is>
      </c>
      <c r="F17" s="44" t="inlineStr"/>
      <c r="G17" s="44"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 (Erik Fisher).</t>
        </is>
      </c>
    </row>
    <row r="18">
      <c r="A18" s="44" t="inlineStr">
        <is>
          <t>STR (strikethrough) tests</t>
        </is>
      </c>
      <c r="B18" s="44" t="inlineStr">
        <is>
          <t>Slack: Abubakar Ishrat (AB), #account-management 2026-10-13/14/15 and #deals 2026-10-13</t>
        </is>
      </c>
      <c r="C18" s="44" t="inlineStr">
        <is>
          <t>2026-10-15</t>
        </is>
      </c>
      <c r="D18" s="44" t="n"/>
      <c r="E18" s="45" t="inlineStr">
        <is>
          <t>Current</t>
        </is>
      </c>
      <c r="F18" s="44" t="inlineStr"/>
      <c r="G18" s="44"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44" t="inlineStr">
        <is>
          <t>Deal pricing and pre-BFCM decisions per product</t>
        </is>
      </c>
      <c r="B19" s="44" t="inlineStr">
        <is>
          <t>Slack threads of Umair Tahir (Oct 13-15); data/deals/slack_deal_pricing_2026-10-15.csv</t>
        </is>
      </c>
      <c r="C19" s="44" t="inlineStr">
        <is>
          <t>2026-10-15</t>
        </is>
      </c>
      <c r="D19" s="44" t="n">
        <v>15</v>
      </c>
      <c r="E19" s="45" t="inlineStr">
        <is>
          <t>Current</t>
        </is>
      </c>
      <c r="F19" s="44" t="inlineStr"/>
      <c r="G19" s="44" t="inlineStr">
        <is>
          <t>Shown on each product tab under the BFCM 2026 plan: Amazon's current reference and max deal price, and the decision on each pre-BFCM deal (B4 US and CA, B6, S4, Satin Fitted, Quilt, SL B6, S6, Silk Pillowcase, SL Cooling Fitted).</t>
        </is>
      </c>
    </row>
    <row r="20">
      <c r="A20" s="44" t="inlineStr">
        <is>
          <t>Our BFCM 2026 deal plan</t>
        </is>
      </c>
      <c r="B20" s="44" t="inlineStr">
        <is>
          <t>BM (Slack, Oct 15, 2026); data/deals/our_deals_bfcm2026_plan.csv</t>
        </is>
      </c>
      <c r="C20" s="44" t="inlineStr">
        <is>
          <t>2026-10-15</t>
        </is>
      </c>
      <c r="D20" s="44" t="n">
        <v>21</v>
      </c>
      <c r="E20" s="46" t="inlineStr">
        <is>
          <t>Partial</t>
        </is>
      </c>
      <c r="F20" s="44" t="inlineStr"/>
      <c r="G20" s="44"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21">
      <c r="A21" s="44" t="inlineStr">
        <is>
          <t>Independent re-verification</t>
        </is>
      </c>
      <c r="B21" s="44" t="inlineStr">
        <is>
          <t>verify_tracker.py: recomputes from the raw files and compares with this workbook and the dashboard</t>
        </is>
      </c>
      <c r="C21" s="44" t="inlineStr">
        <is>
          <t>2026-10-15</t>
        </is>
      </c>
      <c r="D21" s="44" t="n">
        <v>13</v>
      </c>
      <c r="E21" s="45" t="inlineStr">
        <is>
          <t>Exact</t>
        </is>
      </c>
      <c r="F21" s="44" t="inlineStr"/>
      <c r="G21" s="44"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t>
        </is>
      </c>
    </row>
    <row r="22">
      <c r="A22" s="44" t="inlineStr">
        <is>
          <t>ASSUMED BFCM 2026 deal prices</t>
        </is>
      </c>
      <c r="B22" s="44" t="inlineStr">
        <is>
          <t>Tracker assumption (agreed Oct 15, 2026) until BM sends final prices</t>
        </is>
      </c>
      <c r="C22" s="44" t="inlineStr">
        <is>
          <t>2026-10-15</t>
        </is>
      </c>
      <c r="D22" s="44" t="n"/>
      <c r="E22" s="46" t="inlineStr">
        <is>
          <t>Check</t>
        </is>
      </c>
      <c r="F22" s="44" t="inlineStr"/>
      <c r="G22" s="44" t="inlineStr">
        <is>
          <t>Why an assumption: BFCM 2026 pricing is not finalized yet because of price fluctuations (Umair Tahir, Slack, Oct 15, 2026), and Amazon fixes the deal reference price the day before the event. Rule (Umair Tahir via Shayan Rana, Oct 15): 20% off on the high days and 15% off on the other deal days; high days taken as Black Friday to Cyber Monday, Nov 27-30, until confirmed. Base = today's live price of the hero ASIN (US) or best seller (CA). Evidence beside each product: our own BFCM 2025 cut on the hero (Keepa median price Nov 1-19 vs Nov 20 - Dec 1) and the US competitors' median cut. Amazon's reference can be lower than today's price (B4 King White: live $94.99, Amazon reference $79.99, Oct 16 Lightning Deal max $67.99, per Umair Tahir, Oct 15), which would push the deal price lower. Replace with BM's prices when they arrive.</t>
        </is>
      </c>
    </row>
    <row r="23">
      <c r="A23" s="44" t="inlineStr">
        <is>
          <t>Our heroes' BFCM 2025 price and Best Seller Rank (US)</t>
        </is>
      </c>
      <c r="B23" s="44" t="inlineStr">
        <is>
          <t>Command Center keepa_history (data/keepa/keepa_history_ours_cc.csv)</t>
        </is>
      </c>
      <c r="C23" s="44" t="inlineStr">
        <is>
          <t>Nov 1 - Dec 5, 2025</t>
        </is>
      </c>
      <c r="D23" s="44" t="n">
        <v>23</v>
      </c>
      <c r="E23" s="45" t="inlineStr">
        <is>
          <t>Exact</t>
        </is>
      </c>
      <c r="F23" s="44" t="inlineStr"/>
      <c r="G23" s="44"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4">
      <c r="A24" s="44" t="inlineStr">
        <is>
          <t>Our BFCM 2025 stock</t>
        </is>
      </c>
      <c r="B24" s="44" t="inlineStr">
        <is>
          <t>DataHub inventory, revision 2 (agent) + data/stock/our_stock_bfcm2025_missing_dates_bracketed.csv</t>
        </is>
      </c>
      <c r="C24" s="44" t="inlineStr">
        <is>
          <t>2026-10-14</t>
        </is>
      </c>
      <c r="D24" s="44" t="n"/>
      <c r="E24" s="46" t="inlineStr">
        <is>
          <t>Partial</t>
        </is>
      </c>
      <c r="F24" s="44" t="inlineStr"/>
      <c r="G24" s="44"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5">
      <c r="A25" s="44" t="inlineStr">
        <is>
          <t>Competitor tier, X-Ray sales band, listing assets; newly mapped rivals</t>
        </is>
      </c>
      <c r="B25" s="44" t="inlineStr">
        <is>
          <t>Command Center Competitor Summary (competitors_roster, data/cc_roster)</t>
        </is>
      </c>
      <c r="C25" s="44" t="inlineStr">
        <is>
          <t>week of 2026-10-11</t>
        </is>
      </c>
      <c r="D25" s="44" t="n">
        <v>661</v>
      </c>
      <c r="E25" s="45" t="inlineStr">
        <is>
          <t>Current</t>
        </is>
      </c>
      <c r="F25" s="44" t="inlineStr"/>
      <c r="G25" s="44"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6">
      <c r="A26" s="44" t="inlineStr">
        <is>
          <t>Competitor price, newest</t>
        </is>
      </c>
      <c r="B26" s="44" t="inlineStr">
        <is>
          <t>Amazon page for the exact ASIN (agent, Oct 13 and 14)</t>
        </is>
      </c>
      <c r="C26" s="44" t="inlineStr">
        <is>
          <t>2026-10-14</t>
        </is>
      </c>
      <c r="D26" s="44" t="n">
        <v>579</v>
      </c>
      <c r="E26" s="45" t="inlineStr">
        <is>
          <t>Current</t>
        </is>
      </c>
      <c r="F26" s="44" t="inlineStr"/>
      <c r="G26" s="44"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7">
      <c r="A27" s="44" t="inlineStr">
        <is>
          <t>Competitor image, size and colour (US)</t>
        </is>
      </c>
      <c r="B27" s="44" t="inlineStr">
        <is>
          <t>Amazon.com exact-ASIN pages (agent, Part A; data/competitor_details)</t>
        </is>
      </c>
      <c r="C27" s="44" t="inlineStr">
        <is>
          <t>2026-10-14</t>
        </is>
      </c>
      <c r="D27" s="44" t="n">
        <v>253</v>
      </c>
      <c r="E27" s="45" t="inlineStr">
        <is>
          <t>Current</t>
        </is>
      </c>
      <c r="F27" s="44" t="inlineStr"/>
      <c r="G27" s="44"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8">
      <c r="A28" s="44" t="inlineStr">
        <is>
          <t>Our product photos (web dashboard)</t>
        </is>
      </c>
      <c r="B28" s="44" t="inlineStr">
        <is>
          <t>Agent zips: product_images_ours.zip Part 1 update (SHA-256 52e6570b...8ec109e) and product_images_ours_part2.zip (SHA-256 147ac537...b67dfc); product_images/manifest_ours*.csv + provenance_ours*.csv</t>
        </is>
      </c>
      <c r="C28" s="44" t="inlineStr">
        <is>
          <t>2026-10-15</t>
        </is>
      </c>
      <c r="D28" s="44" t="n">
        <v>1977</v>
      </c>
      <c r="E28" s="46" t="inlineStr">
        <is>
          <t>Partial</t>
        </is>
      </c>
      <c r="F28" s="44" t="inlineStr"/>
      <c r="G28" s="44" t="inlineStr">
        <is>
          <t>Parts 1 and 2: 1,977 exact-ASIN main images of our 2,834 listed child ASINs (956 US, 1,021 CA), all checked as 200 px RGB JPEGs matching the manifest; all 45 best-selling children covered. Sources: 1,838 fresh Amazon page, 134 cached Keepa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Data Dive / Xray image URLs.</t>
        </is>
      </c>
    </row>
    <row r="29">
      <c r="A29" s="44" t="inlineStr">
        <is>
          <t>Canada competitors</t>
        </is>
      </c>
      <c r="B29" s="44" t="inlineStr">
        <is>
          <t>Amazon.ca page research (agent, Prompt 9)</t>
        </is>
      </c>
      <c r="C29" s="44" t="inlineStr">
        <is>
          <t>2026-10-13</t>
        </is>
      </c>
      <c r="D29" s="44" t="n">
        <v>83</v>
      </c>
      <c r="E29" s="46" t="inlineStr">
        <is>
          <t>Partial</t>
        </is>
      </c>
      <c r="F29" s="44" t="inlineStr"/>
      <c r="G29" s="44"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30">
      <c r="A30" s="44" t="inlineStr">
        <is>
          <t>Competitors' BFCM 2025 history (Canada)</t>
        </is>
      </c>
      <c r="B30" s="44" t="inlineStr">
        <is>
          <t>Keepa .ca via agent (keepa_history_ca.csv)</t>
        </is>
      </c>
      <c r="C30" s="44" t="inlineStr">
        <is>
          <t>Nov 1 - Dec 5, 2025</t>
        </is>
      </c>
      <c r="D30" s="44" t="n">
        <v>68</v>
      </c>
      <c r="E30" s="45" t="inlineStr">
        <is>
          <t>Exact</t>
        </is>
      </c>
      <c r="F30" s="44" t="inlineStr"/>
      <c r="G30" s="44"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1">
      <c r="A31" s="44" t="inlineStr">
        <is>
          <t>Competitors' BFCM 2025 history (US)</t>
        </is>
      </c>
      <c r="B31" s="44" t="inlineStr">
        <is>
          <t>Keepa via agent (keepa_history_cc_added.csv, keepa_history_p1.csv, keepa_history_p2.csv)</t>
        </is>
      </c>
      <c r="C31" s="44" t="inlineStr">
        <is>
          <t>Nov 1 - Dec 5, 2025</t>
        </is>
      </c>
      <c r="D31" s="44" t="n">
        <v>316</v>
      </c>
      <c r="E31" s="46" t="inlineStr">
        <is>
          <t>Partial</t>
        </is>
      </c>
      <c r="F31" s="44" t="inlineStr"/>
      <c r="G31" s="44"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3">
      <c r="A33" s="48" t="inlineStr">
        <is>
          <t>Spot check: Amazon search 'DECOLURE 100% Viscose from Bamboo Sheets King Size | 6 Pc Cooling Bed Set' (screenshot shared by Shayan, Oct 13, 2026)</t>
        </is>
      </c>
    </row>
    <row r="34">
      <c r="A34" s="43" t="inlineStr">
        <is>
          <t>Listing on the search page</t>
        </is>
      </c>
      <c r="B34" s="43" t="inlineStr">
        <is>
          <t>Page price ($)</t>
        </is>
      </c>
      <c r="C34" s="43" t="inlineStr">
        <is>
          <t>Page rating / reviews</t>
        </is>
      </c>
      <c r="D34" s="43" t="inlineStr">
        <is>
          <t>Tracker price ($)</t>
        </is>
      </c>
      <c r="E34" s="43" t="inlineStr">
        <is>
          <t>Tracker rating / reviews</t>
        </is>
      </c>
      <c r="F34" s="43" t="inlineStr">
        <is>
          <t>Price match?</t>
        </is>
      </c>
      <c r="G34" s="43" t="inlineStr">
        <is>
          <t>Finding</t>
        </is>
      </c>
    </row>
    <row r="35">
      <c r="A35" s="44" t="inlineStr">
        <is>
          <t>DECOLURE Bamboo 6 Pc, King (B0CQ2XQF9N)</t>
        </is>
      </c>
      <c r="B35" s="49" t="n">
        <v>99.98999999999999</v>
      </c>
      <c r="C35" s="44" t="inlineStr">
        <is>
          <t>4.4 / 3.1K</t>
        </is>
      </c>
      <c r="D35" s="49" t="n">
        <v>99.98999999999999</v>
      </c>
      <c r="E35" s="44" t="inlineStr">
        <is>
          <t>4.4 / 3153.0</t>
        </is>
      </c>
      <c r="F35" s="44">
        <f>IF(OR(B35="",D35=""),"n/a",IF(ABS(B35-D35)&lt;0.01,"Match","Differs"))</f>
        <v/>
      </c>
      <c r="G35" s="44" t="inlineStr">
        <is>
          <t>Tracker now uses the live price (Helium 10 Xray, 2026-10-13). Command Center fee feed still says $89.99 (2026-03-30) - stale, no longer used for comparisons.</t>
        </is>
      </c>
    </row>
    <row r="36">
      <c r="A36" s="44" t="inlineStr">
        <is>
          <t>DECOLURE Bamboo 4 Pc, King (B08KQHRDDG)</t>
        </is>
      </c>
      <c r="B36" s="49" t="n">
        <v>94.98999999999999</v>
      </c>
      <c r="C36" s="44" t="inlineStr">
        <is>
          <t>4.5 / 5.9K</t>
        </is>
      </c>
      <c r="D36" s="49" t="n">
        <v>94.98999999999999</v>
      </c>
      <c r="E36" s="44" t="inlineStr">
        <is>
          <t>4.5 / 5972.0</t>
        </is>
      </c>
      <c r="F36" s="44">
        <f>IF(OR(B36="",D36=""),"n/a",IF(ABS(B36-D36)&lt;0.01,"Match","Differs"))</f>
        <v/>
      </c>
      <c r="G36" s="44" t="inlineStr">
        <is>
          <t>Live price from Helium 10 Xray, 2026-10-13. Command Center fee feed: $79.99 (2026-03-30) - stale.</t>
        </is>
      </c>
    </row>
    <row r="37">
      <c r="A37" s="44" t="inlineStr">
        <is>
          <t>DECOLURE Cooling 4pcs, King Purple (B0C9LS8Z18)</t>
        </is>
      </c>
      <c r="B37" s="49" t="n">
        <v>37.95</v>
      </c>
      <c r="C37" s="44" t="inlineStr">
        <is>
          <t>4.2 / 1.2K</t>
        </is>
      </c>
      <c r="D37" s="49" t="n">
        <v>37.95</v>
      </c>
      <c r="E37" s="44" t="inlineStr">
        <is>
          <t>4.2 / 1,296</t>
        </is>
      </c>
      <c r="F37" s="44">
        <f>IF(OR(B37="",D37=""),"n/a",IF(ABS(B37-D37)&lt;0.01,"Match","Differs"))</f>
        <v/>
      </c>
      <c r="G37" s="44" t="inlineStr">
        <is>
          <t>Live price from Helium 10 Xray, 2026-10-13.</t>
        </is>
      </c>
    </row>
    <row r="38">
      <c r="A38" s="44" t="inlineStr">
        <is>
          <t>Pure Bamboo, King (B07DZTQ4JC)</t>
        </is>
      </c>
      <c r="B38" s="49" t="n">
        <v>109.99</v>
      </c>
      <c r="C38" s="44" t="inlineStr">
        <is>
          <t>4.5 / 21.9K</t>
        </is>
      </c>
      <c r="D38" s="49" t="n">
        <v>109.99</v>
      </c>
      <c r="E38" s="44" t="inlineStr">
        <is>
          <t>4.5 / 21927</t>
        </is>
      </c>
      <c r="F38" s="44">
        <f>IF(OR(B38="",D38=""),"n/a",IF(ABS(B38-D38)&lt;0.01,"Match","Differs"))</f>
        <v/>
      </c>
      <c r="G38" s="44" t="inlineStr">
        <is>
          <t>Exact match (Command Center 2026-10-12).</t>
        </is>
      </c>
    </row>
    <row r="39">
      <c r="A39" s="44" t="inlineStr">
        <is>
          <t>Bamboo Bay 6 Piece, King</t>
        </is>
      </c>
      <c r="B39" s="49" t="n">
        <v>89.98999999999999</v>
      </c>
      <c r="C39" s="44" t="inlineStr">
        <is>
          <t>4.5 / 2.6K</t>
        </is>
      </c>
      <c r="D39" s="49" t="n">
        <v>79.98</v>
      </c>
      <c r="E39" s="44" t="inlineStr">
        <is>
          <t>4.5 / 2691</t>
        </is>
      </c>
      <c r="F39" s="44">
        <f>IF(OR(B39="",D39=""),"n/a",IF(ABS(B39-D39)&lt;0.01,"Match","Differs"))</f>
        <v/>
      </c>
      <c r="G39" s="44" t="inlineStr">
        <is>
          <t>Same family (reviews match). Tracker prices tracked child B07TBHLZJM (Queen), not the King 6 Pc shown on the page.</t>
        </is>
      </c>
    </row>
    <row r="40">
      <c r="A40" s="44" t="inlineStr">
        <is>
          <t>Bamboo Bay 6 Piece, King ($27.99/count)</t>
        </is>
      </c>
      <c r="B40" s="49" t="n">
        <v>111.94</v>
      </c>
      <c r="C40" s="44" t="inlineStr">
        <is>
          <t>4.4 / 739</t>
        </is>
      </c>
      <c r="D40" s="49" t="n">
        <v>89.98</v>
      </c>
      <c r="E40" s="44" t="inlineStr">
        <is>
          <t>4.4 / 739</t>
        </is>
      </c>
      <c r="F40" s="44">
        <f>IF(OR(B40="",D40=""),"n/a",IF(ABS(B40-D40)&lt;0.01,"Match","Differs"))</f>
        <v/>
      </c>
      <c r="G40" s="44" t="inlineStr">
        <is>
          <t>Same family (739 reviews). Tracked child B08M9QK14J is a 4 Piece Queen, so the price differs by design; compare on the same-size basis.</t>
        </is>
      </c>
    </row>
    <row r="41">
      <c r="A41" s="44" t="inlineStr">
        <is>
          <t>Bella Coterie 6 Piece, King</t>
        </is>
      </c>
      <c r="B41" s="49" t="n">
        <v>194.99</v>
      </c>
      <c r="C41" s="44" t="inlineStr">
        <is>
          <t>4.4 / 5.8K</t>
        </is>
      </c>
      <c r="D41" s="49" t="n">
        <v>154.99</v>
      </c>
      <c r="E41" s="44" t="inlineStr">
        <is>
          <t>4.4 / 5871</t>
        </is>
      </c>
      <c r="F41" s="44">
        <f>IF(OR(B41="",D41=""),"n/a",IF(ABS(B41-D41)&lt;0.01,"Match","Differs"))</f>
        <v/>
      </c>
      <c r="G41" s="44" t="inlineStr">
        <is>
          <t>Same family. Tracked child B08L86VLZB is another size/pack; it also moved from $154.99 (Oct 12) to $169.99 on the Oct 13 page check.</t>
        </is>
      </c>
    </row>
    <row r="42">
      <c r="A42" s="44" t="inlineStr">
        <is>
          <t>TWK Real 100% Viscose, King</t>
        </is>
      </c>
      <c r="B42" s="49" t="n">
        <v>79</v>
      </c>
      <c r="C42" s="44" t="inlineStr">
        <is>
          <t>5.0 / 76</t>
        </is>
      </c>
      <c r="D42" s="49" t="n"/>
      <c r="E42" s="44" t="inlineStr">
        <is>
          <t>not in map</t>
        </is>
      </c>
      <c r="F42" s="44">
        <f>IF(OR(B42="",D42=""),"n/a",IF(ABS(B42-D42)&lt;0.01,"Match","Differs"))</f>
        <v/>
      </c>
      <c r="G42" s="44" t="inlineStr">
        <is>
          <t>Shows List $99.00, 'Limited time deal' and a 10% coupon. No TWK row in the map has 76 reviews - likely a TWK listing not yet mapped. Add it to the competitor map.</t>
        </is>
      </c>
    </row>
    <row r="43">
      <c r="A43" s="44" t="inlineStr">
        <is>
          <t>DECOLURE Bamboo 6 Pc, California King</t>
        </is>
      </c>
      <c r="B43" s="49" t="n">
        <v>106.99</v>
      </c>
      <c r="C43" s="44" t="inlineStr">
        <is>
          <t>3.5 / 16</t>
        </is>
      </c>
      <c r="D43" s="49" t="n"/>
      <c r="E43" s="44" t="inlineStr">
        <is>
          <t>not matched</t>
        </is>
      </c>
      <c r="F43" s="44">
        <f>IF(OR(B43="",D43=""),"n/a",IF(ABS(B43-D43)&lt;0.01,"Match","Differs"))</f>
        <v/>
      </c>
      <c r="G43" s="44" t="inlineStr">
        <is>
          <t>Our own detail page with only 16 reviews - looks split from the main family (B6 now sits under parent B0H6335KNV). Check the variation family in Seller Central.</t>
        </is>
      </c>
    </row>
    <row r="44">
      <c r="A44" s="44" t="inlineStr">
        <is>
          <t>DECOLURE Bamboo 6 Pc, Full</t>
        </is>
      </c>
      <c r="B44" s="49" t="n">
        <v>79.98999999999999</v>
      </c>
      <c r="C44" s="44" t="inlineStr">
        <is>
          <t>4.2 / 27</t>
        </is>
      </c>
      <c r="D44" s="49" t="n"/>
      <c r="E44" s="44" t="inlineStr">
        <is>
          <t>not matched</t>
        </is>
      </c>
      <c r="F44" s="44">
        <f>IF(OR(B44="",D44=""),"n/a",IF(ABS(B44-D44)&lt;0.01,"Match","Differs"))</f>
        <v/>
      </c>
      <c r="G44" s="44" t="inlineStr">
        <is>
          <t>Same as above: an own listing with 27 reviews, outside the main review pool.</t>
        </is>
      </c>
    </row>
    <row r="46">
      <c r="A46" s="50" t="inlineStr">
        <is>
          <t>Page values typed from the screenshot (Source: Amazon.com search, Oct 13, 2026, shared by Shayan). 'Differs' on a competitor is expected when the tracked child is a different size; it is an error only for the same ASIN.</t>
        </is>
      </c>
    </row>
  </sheetData>
  <conditionalFormatting sqref="F35:F44">
    <cfRule type="expression" priority="1" dxfId="1">
      <formula>F35="Match"</formula>
    </cfRule>
    <cfRule type="expression" priority="2" dxfId="2">
      <formula>F35="Differs"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Bamboo Sheets 4 Piece  ·  Amazon.com (US)  ·  Bamboo  ·  BFCM role: Hero: rank and profit  ·  Scope: Core</t>
        </is>
      </c>
    </row>
    <row r="2">
      <c r="A2" s="52" t="inlineStr">
        <is>
          <t>← Dashboard</t>
        </is>
      </c>
    </row>
    <row r="3" ht="20" customHeight="1">
      <c r="A3" s="53"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4" t="inlineStr">
        <is>
          <t>California King, Full, King, Queen, Twin</t>
        </is>
      </c>
      <c r="S4" s="11" t="inlineStr">
        <is>
          <t>Break-even ACoS</t>
        </is>
      </c>
      <c r="T4" s="54" t="inlineStr">
        <is>
          <t>43%</t>
        </is>
      </c>
    </row>
    <row r="5" ht="22" customHeight="1">
      <c r="C5" s="11" t="inlineStr">
        <is>
          <t>Brand</t>
        </is>
      </c>
      <c r="D5" s="54" t="inlineStr">
        <is>
          <t>Decolure</t>
        </is>
      </c>
      <c r="K5" s="11" t="inlineStr">
        <is>
          <t>Colours</t>
        </is>
      </c>
      <c r="L5" s="54" t="inlineStr">
        <is>
          <t>Black, Burgundy, Charcoal, Creme, Grey, Light Blue, Light Grey, Light Olive, Light Pink, Midgrey, Navy Blue, Olive, Purple, Sage Green, Taupe, White</t>
        </is>
      </c>
      <c r="S5" s="11" t="inlineStr">
        <is>
          <t>Units last 28 days</t>
        </is>
      </c>
      <c r="T5" s="54" t="inlineStr">
        <is>
          <t>1,813</t>
        </is>
      </c>
    </row>
    <row r="6" ht="22" customHeight="1">
      <c r="C6" s="11" t="inlineStr">
        <is>
          <t>Marketplace</t>
        </is>
      </c>
      <c r="D6" s="54" t="inlineStr">
        <is>
          <t>Amazon.com (US)</t>
        </is>
      </c>
      <c r="K6" s="11" t="inlineStr">
        <is>
          <t>Price now, best child</t>
        </is>
      </c>
      <c r="L6" s="54" t="inlineStr">
        <is>
          <t>$94.99 (Helium 10 Xray, 2026-10-13)</t>
        </is>
      </c>
      <c r="S6" s="11" t="inlineStr">
        <is>
          <t>Command Center product ASIN</t>
        </is>
      </c>
      <c r="T6" s="54" t="inlineStr">
        <is>
          <t>B0BZQ1G5B8 (one of our child ASINs, not the Amazon parent)</t>
        </is>
      </c>
    </row>
    <row r="7" ht="22" customHeight="1">
      <c r="C7" s="11" t="inlineStr">
        <is>
          <t>Parent ASIN (Amazon)</t>
        </is>
      </c>
      <c r="D7" s="54" t="inlineStr">
        <is>
          <t>B0HJCSXJQ6</t>
        </is>
      </c>
      <c r="K7" s="11" t="inlineStr">
        <is>
          <t>Rating / reviews now</t>
        </is>
      </c>
      <c r="L7" s="54" t="inlineStr">
        <is>
          <t>4.5 / 5,972 (Helium 10 Xray, 2026-10-13)</t>
        </is>
      </c>
    </row>
    <row r="8" ht="22" customHeight="1">
      <c r="C8" s="11" t="inlineStr">
        <is>
          <t>Best-selling child ASIN</t>
        </is>
      </c>
      <c r="D8" s="54" t="inlineStr">
        <is>
          <t>B08KQHRDDG</t>
        </is>
      </c>
      <c r="K8" s="11" t="inlineStr">
        <is>
          <t>Live prices held</t>
        </is>
      </c>
      <c r="L8" s="54" t="inlineStr">
        <is>
          <t>75 of 81 variations</t>
        </is>
      </c>
    </row>
    <row r="9" ht="22" customHeight="1">
      <c r="C9" s="11" t="inlineStr">
        <is>
          <t>Stage</t>
        </is>
      </c>
      <c r="D9" s="54" t="inlineStr">
        <is>
          <t>Re-Launch</t>
        </is>
      </c>
      <c r="K9" s="11" t="inlineStr">
        <is>
          <t>Blended price (Command Center)</t>
        </is>
      </c>
      <c r="L9" s="54" t="inlineStr">
        <is>
          <t>$80.69 - fee feed as of 2026-03-30, STALE</t>
        </is>
      </c>
    </row>
    <row r="10">
      <c r="C10" s="11" t="inlineStr">
        <is>
          <t>Total variations (SKUs)</t>
        </is>
      </c>
      <c r="D10" s="54" t="n">
        <v>81</v>
      </c>
      <c r="K10" s="11" t="inlineStr">
        <is>
          <t>Contribution / unit</t>
        </is>
      </c>
      <c r="L10" s="54" t="inlineStr">
        <is>
          <t>$34.45</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4.25x</t>
        </is>
      </c>
      <c r="E12" s="56" t="inlineStr">
        <is>
          <t>6.3%</t>
        </is>
      </c>
      <c r="I12" s="56" t="inlineStr">
        <is>
          <t>1.86x</t>
        </is>
      </c>
      <c r="M12" s="56" t="inlineStr">
        <is>
          <t>61</t>
        </is>
      </c>
      <c r="Q12" s="56" t="inlineStr">
        <is>
          <t>38</t>
        </is>
      </c>
      <c r="U12" s="56" t="inlineStr">
        <is>
          <t>2</t>
        </is>
      </c>
    </row>
    <row r="13">
      <c r="A13" s="57" t="inlineStr">
        <is>
          <t>daily sales, BFCM wk vs 30 days before (SellerBoard actual)</t>
        </is>
      </c>
      <c r="E13" s="57" t="inlineStr">
        <is>
          <t>vs 11.2%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(81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59" t="n">
        <v>94.98999999999999</v>
      </c>
      <c r="H18" s="32" t="inlineStr">
        <is>
          <t>Helium 10 Xray, 2026-10-13</t>
        </is>
      </c>
      <c r="I18" s="60" t="n">
        <v>79.98999999999999</v>
      </c>
      <c r="J18" s="61" t="inlineStr">
        <is>
          <t>2026-03-30</t>
        </is>
      </c>
      <c r="K18" s="33" t="n">
        <v>30.66999999999999</v>
      </c>
      <c r="L18" s="62" t="n">
        <v>0.3834229278659832</v>
      </c>
      <c r="M18" s="63" t="n">
        <v>198</v>
      </c>
      <c r="N18" s="32" t="inlineStr">
        <is>
          <t>Active</t>
        </is>
      </c>
      <c r="O18" s="32" t="inlineStr">
        <is>
          <t>Yes (43%)</t>
        </is>
      </c>
      <c r="P18" s="64" t="n">
        <v>4.5</v>
      </c>
      <c r="Q18" s="63" t="n">
        <v>5972</v>
      </c>
      <c r="R18" s="63" t="n">
        <v>19668</v>
      </c>
      <c r="S18" s="63"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59" t="n">
        <v>89.98999999999999</v>
      </c>
      <c r="H19" s="32" t="inlineStr">
        <is>
          <t>Helium 10 Xray, 2026-10-13</t>
        </is>
      </c>
      <c r="I19" s="60" t="n">
        <v>74.98999999999999</v>
      </c>
      <c r="J19" s="61" t="inlineStr">
        <is>
          <t>2026-03-26</t>
        </is>
      </c>
      <c r="K19" s="33" t="n">
        <v>31.23</v>
      </c>
      <c r="L19" s="62" t="n">
        <v>0.4164555274036538</v>
      </c>
      <c r="M19" s="63" t="n">
        <v>110</v>
      </c>
      <c r="N19" s="32" t="inlineStr">
        <is>
          <t>Active</t>
        </is>
      </c>
      <c r="O19" s="32" t="inlineStr">
        <is>
          <t>Yes (14%)</t>
        </is>
      </c>
      <c r="P19" s="64" t="n">
        <v>4.5</v>
      </c>
      <c r="Q19" s="63" t="n">
        <v>5972</v>
      </c>
      <c r="R19" s="63" t="n">
        <v>19665</v>
      </c>
      <c r="S19" s="63"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59" t="n">
        <v>94.98999999999999</v>
      </c>
      <c r="H20" s="32" t="inlineStr">
        <is>
          <t>Helium 10 Xray, 2026-10-13</t>
        </is>
      </c>
      <c r="I20" s="60" t="n">
        <v>79.98999999999999</v>
      </c>
      <c r="J20" s="61" t="inlineStr">
        <is>
          <t>2026-03-30</t>
        </is>
      </c>
      <c r="K20" s="33" t="n">
        <v>31.46999999999999</v>
      </c>
      <c r="L20" s="62" t="n">
        <v>0.3934241780222527</v>
      </c>
      <c r="M20" s="63" t="n">
        <v>96</v>
      </c>
      <c r="N20" s="32" t="inlineStr">
        <is>
          <t>Active</t>
        </is>
      </c>
      <c r="O20" s="32" t="inlineStr">
        <is>
          <t>Yes (6%)</t>
        </is>
      </c>
      <c r="P20" s="64" t="n">
        <v>4.5</v>
      </c>
      <c r="Q20" s="63" t="n">
        <v>5972</v>
      </c>
      <c r="R20" s="63" t="n">
        <v>19668</v>
      </c>
      <c r="S20" s="63"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59" t="n">
        <v>94.98999999999999</v>
      </c>
      <c r="H21" s="32" t="inlineStr">
        <is>
          <t>Helium 10 Xray, 2026-10-13</t>
        </is>
      </c>
      <c r="I21" s="60" t="n">
        <v>79.98999999999999</v>
      </c>
      <c r="J21" s="61" t="inlineStr">
        <is>
          <t>2026-03-30</t>
        </is>
      </c>
      <c r="K21" s="33" t="n">
        <v>30.56999999999999</v>
      </c>
      <c r="L21" s="62" t="n">
        <v>0.3821727715964495</v>
      </c>
      <c r="M21" s="63" t="n">
        <v>91</v>
      </c>
      <c r="N21" s="32" t="inlineStr">
        <is>
          <t>Active</t>
        </is>
      </c>
      <c r="O21" s="32" t="inlineStr">
        <is>
          <t>Yes (4%)</t>
        </is>
      </c>
      <c r="P21" s="64" t="n">
        <v>4.5</v>
      </c>
      <c r="Q21" s="63" t="n">
        <v>5972</v>
      </c>
      <c r="R21" s="63" t="n">
        <v>19668</v>
      </c>
      <c r="S21" s="63"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59" t="n">
        <v>94.98999999999999</v>
      </c>
      <c r="H22" s="32" t="inlineStr">
        <is>
          <t>Helium 10 Xray, 2026-10-13</t>
        </is>
      </c>
      <c r="I22" s="60" t="n">
        <v>84.98999999999999</v>
      </c>
      <c r="J22" s="61" t="inlineStr">
        <is>
          <t>2026-03-30</t>
        </is>
      </c>
      <c r="K22" s="33" t="n">
        <v>34.66</v>
      </c>
      <c r="L22" s="62" t="n">
        <v>0.4078126838451583</v>
      </c>
      <c r="M22" s="63" t="n">
        <v>80</v>
      </c>
      <c r="N22" s="32" t="inlineStr">
        <is>
          <t>Active</t>
        </is>
      </c>
      <c r="O22" s="32" t="n"/>
      <c r="P22" s="64" t="n">
        <v>4.5</v>
      </c>
      <c r="Q22" s="63" t="n">
        <v>5972</v>
      </c>
      <c r="R22" s="63" t="n">
        <v>19665</v>
      </c>
      <c r="S22" s="63"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59" t="n">
        <v>103.99</v>
      </c>
      <c r="H23" s="32" t="inlineStr">
        <is>
          <t>Helium 10 Xray, 2026-10-13</t>
        </is>
      </c>
      <c r="I23" s="60" t="n">
        <v>84.98999999999999</v>
      </c>
      <c r="J23" s="61" t="inlineStr">
        <is>
          <t>2026-03-30</t>
        </is>
      </c>
      <c r="K23" s="33" t="n">
        <v>35.24999999999999</v>
      </c>
      <c r="L23" s="62" t="n">
        <v>0.4147546770208259</v>
      </c>
      <c r="M23" s="63" t="n">
        <v>71</v>
      </c>
      <c r="N23" s="32" t="inlineStr">
        <is>
          <t>Active</t>
        </is>
      </c>
      <c r="O23" s="32" t="n"/>
      <c r="P23" s="64" t="n">
        <v>4.5</v>
      </c>
      <c r="Q23" s="63" t="n">
        <v>5972</v>
      </c>
      <c r="R23" s="63" t="n">
        <v>19668</v>
      </c>
      <c r="S23" s="63"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59" t="n">
        <v>89.98999999999999</v>
      </c>
      <c r="H24" s="32" t="inlineStr">
        <is>
          <t>Helium 10 Xray, 2026-10-13</t>
        </is>
      </c>
      <c r="I24" s="60" t="n">
        <v>79.98999999999999</v>
      </c>
      <c r="J24" s="61" t="inlineStr">
        <is>
          <t>2026-03-30</t>
        </is>
      </c>
      <c r="K24" s="33" t="n">
        <v>35.17999999999999</v>
      </c>
      <c r="L24" s="62" t="n">
        <v>0.4398049756219527</v>
      </c>
      <c r="M24" s="63" t="n">
        <v>67</v>
      </c>
      <c r="N24" s="32" t="inlineStr">
        <is>
          <t>Active</t>
        </is>
      </c>
      <c r="O24" s="32" t="inlineStr">
        <is>
          <t>Yes (3%)</t>
        </is>
      </c>
      <c r="P24" s="64" t="n">
        <v>4.5</v>
      </c>
      <c r="Q24" s="63" t="n">
        <v>5972</v>
      </c>
      <c r="R24" s="63" t="n">
        <v>19665</v>
      </c>
      <c r="S24" s="63"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59" t="n">
        <v>89.98999999999999</v>
      </c>
      <c r="H25" s="32" t="inlineStr">
        <is>
          <t>Helium 10 Xray, 2026-10-13</t>
        </is>
      </c>
      <c r="I25" s="60" t="n">
        <v>79.98999999999999</v>
      </c>
      <c r="J25" s="61" t="inlineStr">
        <is>
          <t>2026-03-30</t>
        </is>
      </c>
      <c r="K25" s="33" t="n">
        <v>35.86</v>
      </c>
      <c r="L25" s="62" t="n">
        <v>0.4483060382547819</v>
      </c>
      <c r="M25" s="63" t="n">
        <v>65</v>
      </c>
      <c r="N25" s="32" t="inlineStr">
        <is>
          <t>Active</t>
        </is>
      </c>
      <c r="O25" s="32" t="n"/>
      <c r="P25" s="64" t="n">
        <v>4.5</v>
      </c>
      <c r="Q25" s="63" t="n">
        <v>5972</v>
      </c>
      <c r="R25" s="63" t="n">
        <v>19668</v>
      </c>
      <c r="S25" s="63"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59" t="n">
        <v>94.98999999999999</v>
      </c>
      <c r="H26" s="32" t="inlineStr">
        <is>
          <t>Helium 10 Xray, 2026-10-13</t>
        </is>
      </c>
      <c r="I26" s="60" t="n">
        <v>84.98999999999999</v>
      </c>
      <c r="J26" s="61" t="inlineStr">
        <is>
          <t>2026-03-30</t>
        </is>
      </c>
      <c r="K26" s="33" t="n">
        <v>35.25999999999999</v>
      </c>
      <c r="L26" s="62" t="n">
        <v>0.4148723379221084</v>
      </c>
      <c r="M26" s="63" t="n">
        <v>62</v>
      </c>
      <c r="N26" s="32" t="inlineStr">
        <is>
          <t>Active</t>
        </is>
      </c>
      <c r="O26" s="32" t="n"/>
      <c r="P26" s="64" t="n">
        <v>4.5</v>
      </c>
      <c r="Q26" s="63" t="n">
        <v>5972</v>
      </c>
      <c r="R26" s="63" t="n">
        <v>19668</v>
      </c>
      <c r="S26" s="63"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59" t="n">
        <v>89.98999999999999</v>
      </c>
      <c r="H27" s="32" t="inlineStr">
        <is>
          <t>Helium 10 Xray, 2026-10-13</t>
        </is>
      </c>
      <c r="I27" s="60" t="n">
        <v>100.99</v>
      </c>
      <c r="J27" s="61" t="inlineStr">
        <is>
          <t>2026-03-30</t>
        </is>
      </c>
      <c r="K27" s="33" t="n">
        <v>53.73999999999998</v>
      </c>
      <c r="L27" s="62" t="n">
        <v>0.532131894246955</v>
      </c>
      <c r="M27" s="63" t="n">
        <v>61</v>
      </c>
      <c r="N27" s="32" t="inlineStr">
        <is>
          <t>Active</t>
        </is>
      </c>
      <c r="O27" s="32" t="n"/>
      <c r="P27" s="64" t="n">
        <v>4.5</v>
      </c>
      <c r="Q27" s="63" t="n">
        <v>5972</v>
      </c>
      <c r="R27" s="63" t="n">
        <v>19665</v>
      </c>
      <c r="S27" s="63"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59" t="n">
        <v>94.98999999999999</v>
      </c>
      <c r="H28" s="32" t="inlineStr">
        <is>
          <t>Helium 10 Xray, 2026-10-13</t>
        </is>
      </c>
      <c r="I28" s="60" t="n">
        <v>84.98999999999999</v>
      </c>
      <c r="J28" s="61" t="inlineStr">
        <is>
          <t>2026-03-30</t>
        </is>
      </c>
      <c r="K28" s="33" t="n">
        <v>35.73999999999999</v>
      </c>
      <c r="L28" s="62" t="n">
        <v>0.4205200611836686</v>
      </c>
      <c r="M28" s="63" t="n">
        <v>58</v>
      </c>
      <c r="N28" s="32" t="inlineStr">
        <is>
          <t>Active</t>
        </is>
      </c>
      <c r="O28" s="32" t="n"/>
      <c r="P28" s="64" t="n">
        <v>4.5</v>
      </c>
      <c r="Q28" s="63" t="n">
        <v>5972</v>
      </c>
      <c r="R28" s="63" t="n">
        <v>19668</v>
      </c>
      <c r="S28" s="63"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59" t="n">
        <v>89.98999999999999</v>
      </c>
      <c r="H29" s="32" t="inlineStr">
        <is>
          <t>Helium 10 Xray, 2026-10-13</t>
        </is>
      </c>
      <c r="I29" s="60" t="n">
        <v>74.98999999999999</v>
      </c>
      <c r="J29" s="61" t="inlineStr">
        <is>
          <t>2026-03-30</t>
        </is>
      </c>
      <c r="K29" s="33" t="n">
        <v>32.23</v>
      </c>
      <c r="L29" s="62" t="n">
        <v>0.4297906387518335</v>
      </c>
      <c r="M29" s="63" t="n">
        <v>57</v>
      </c>
      <c r="N29" s="32" t="inlineStr">
        <is>
          <t>Active</t>
        </is>
      </c>
      <c r="O29" s="32" t="n"/>
      <c r="P29" s="64" t="n">
        <v>4.5</v>
      </c>
      <c r="Q29" s="63" t="n">
        <v>5972</v>
      </c>
      <c r="R29" s="63" t="n">
        <v>19665</v>
      </c>
      <c r="S29" s="63"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59" t="n">
        <v>89.98999999999999</v>
      </c>
      <c r="H30" s="32" t="inlineStr">
        <is>
          <t>Helium 10 Xray, 2026-10-13</t>
        </is>
      </c>
      <c r="I30" s="60" t="n">
        <v>74.98999999999999</v>
      </c>
      <c r="J30" s="61" t="inlineStr">
        <is>
          <t>2026-03-30</t>
        </is>
      </c>
      <c r="K30" s="33" t="n">
        <v>31.28</v>
      </c>
      <c r="L30" s="62" t="n">
        <v>0.4171222829710628</v>
      </c>
      <c r="M30" s="63" t="n">
        <v>51</v>
      </c>
      <c r="N30" s="32" t="inlineStr">
        <is>
          <t>Active</t>
        </is>
      </c>
      <c r="O30" s="32" t="n"/>
      <c r="P30" s="64" t="n">
        <v>4.5</v>
      </c>
      <c r="Q30" s="63" t="n">
        <v>5972</v>
      </c>
      <c r="R30" s="63" t="n">
        <v>19665</v>
      </c>
      <c r="S30" s="63"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59" t="n">
        <v>89.98999999999999</v>
      </c>
      <c r="H31" s="32" t="inlineStr">
        <is>
          <t>Helium 10 Xray, 2026-10-13</t>
        </is>
      </c>
      <c r="I31" s="60" t="n">
        <v>79.98999999999999</v>
      </c>
      <c r="J31" s="61" t="inlineStr">
        <is>
          <t>2026-03-30</t>
        </is>
      </c>
      <c r="K31" s="33" t="n">
        <v>35.81</v>
      </c>
      <c r="L31" s="62" t="n">
        <v>0.4476809601200151</v>
      </c>
      <c r="M31" s="63" t="n">
        <v>48</v>
      </c>
      <c r="N31" s="32" t="inlineStr">
        <is>
          <t>Active</t>
        </is>
      </c>
      <c r="O31" s="32" t="n"/>
      <c r="P31" s="64" t="n">
        <v>4.5</v>
      </c>
      <c r="Q31" s="63" t="n">
        <v>5972</v>
      </c>
      <c r="R31" s="63" t="n">
        <v>19665</v>
      </c>
      <c r="S31" s="63"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59" t="n">
        <v>94.98999999999999</v>
      </c>
      <c r="H32" s="32" t="inlineStr">
        <is>
          <t>Helium 10 Xray, 2026-10-13</t>
        </is>
      </c>
      <c r="I32" s="60" t="n">
        <v>84.98999999999999</v>
      </c>
      <c r="J32" s="61" t="inlineStr">
        <is>
          <t>2026-03-30</t>
        </is>
      </c>
      <c r="K32" s="33" t="n">
        <v>34.61999999999999</v>
      </c>
      <c r="L32" s="62" t="n">
        <v>0.4073420402400281</v>
      </c>
      <c r="M32" s="63" t="n">
        <v>47</v>
      </c>
      <c r="N32" s="32" t="inlineStr">
        <is>
          <t>Active</t>
        </is>
      </c>
      <c r="O32" s="32" t="n"/>
      <c r="P32" s="64" t="n">
        <v>4.5</v>
      </c>
      <c r="Q32" s="63" t="n">
        <v>5972</v>
      </c>
      <c r="R32" s="63" t="n">
        <v>19665</v>
      </c>
      <c r="S32" s="63"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59" t="n">
        <v>89.98999999999999</v>
      </c>
      <c r="H33" s="32" t="inlineStr">
        <is>
          <t>Helium 10 Xray, 2026-10-13</t>
        </is>
      </c>
      <c r="I33" s="60" t="n">
        <v>79.98999999999999</v>
      </c>
      <c r="J33" s="61" t="inlineStr">
        <is>
          <t>2026-03-30</t>
        </is>
      </c>
      <c r="K33" s="33" t="n">
        <v>35.38</v>
      </c>
      <c r="L33" s="62" t="n">
        <v>0.4423052881610201</v>
      </c>
      <c r="M33" s="63" t="n">
        <v>45</v>
      </c>
      <c r="N33" s="32" t="inlineStr">
        <is>
          <t>Active</t>
        </is>
      </c>
      <c r="O33" s="32" t="n"/>
      <c r="P33" s="64" t="n">
        <v>4.5</v>
      </c>
      <c r="Q33" s="63" t="n">
        <v>5972</v>
      </c>
      <c r="R33" s="63" t="n">
        <v>19665</v>
      </c>
      <c r="S33" s="63"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59" t="n">
        <v>89.98999999999999</v>
      </c>
      <c r="H34" s="32" t="inlineStr">
        <is>
          <t>Helium 10 Xray, 2026-10-13</t>
        </is>
      </c>
      <c r="I34" s="33" t="n"/>
      <c r="J34" s="32" t="n"/>
      <c r="K34" s="33" t="n"/>
      <c r="L34" s="62" t="n"/>
      <c r="M34" s="63" t="n">
        <v>30</v>
      </c>
      <c r="N34" s="32" t="inlineStr">
        <is>
          <t>Active</t>
        </is>
      </c>
      <c r="O34" s="32" t="n"/>
      <c r="P34" s="64" t="n">
        <v>4.5</v>
      </c>
      <c r="Q34" s="63" t="n">
        <v>5972</v>
      </c>
      <c r="R34" s="63" t="n">
        <v>19665</v>
      </c>
      <c r="S34" s="63"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59" t="n">
        <v>64.98999999999999</v>
      </c>
      <c r="H35" s="32" t="inlineStr">
        <is>
          <t>Helium 10 Xray, 2026-10-13</t>
        </is>
      </c>
      <c r="I35" s="60" t="n">
        <v>59.99</v>
      </c>
      <c r="J35" s="61" t="inlineStr">
        <is>
          <t>2026-03-30</t>
        </is>
      </c>
      <c r="K35" s="33" t="n">
        <v>25.01</v>
      </c>
      <c r="L35" s="62" t="n">
        <v>0.4169028171361894</v>
      </c>
      <c r="M35" s="63" t="n">
        <v>30</v>
      </c>
      <c r="N35" s="32" t="inlineStr">
        <is>
          <t>Active</t>
        </is>
      </c>
      <c r="O35" s="32" t="n"/>
      <c r="P35" s="64" t="n">
        <v>4.5</v>
      </c>
      <c r="Q35" s="63" t="n">
        <v>5972</v>
      </c>
      <c r="R35" s="63" t="n">
        <v>19665</v>
      </c>
      <c r="S35" s="63"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59" t="n">
        <v>74.98999999999999</v>
      </c>
      <c r="H36" s="32" t="inlineStr">
        <is>
          <t>Helium 10 Xray, 2026-10-13</t>
        </is>
      </c>
      <c r="I36" s="60" t="n">
        <v>64.98999999999999</v>
      </c>
      <c r="J36" s="61" t="inlineStr">
        <is>
          <t>2026-03-30</t>
        </is>
      </c>
      <c r="K36" s="33" t="n">
        <v>25.12999999999999</v>
      </c>
      <c r="L36" s="62" t="n">
        <v>0.3866748730573933</v>
      </c>
      <c r="M36" s="63" t="n">
        <v>29</v>
      </c>
      <c r="N36" s="32" t="inlineStr">
        <is>
          <t>Active</t>
        </is>
      </c>
      <c r="O36" s="32" t="n"/>
      <c r="P36" s="64" t="n">
        <v>4.5</v>
      </c>
      <c r="Q36" s="63" t="n">
        <v>5972</v>
      </c>
      <c r="R36" s="63" t="n">
        <v>19668</v>
      </c>
      <c r="S36" s="63"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59" t="n">
        <v>94.98999999999999</v>
      </c>
      <c r="H37" s="32" t="inlineStr">
        <is>
          <t>Helium 10 Xray, 2026-10-13</t>
        </is>
      </c>
      <c r="I37" s="60" t="n">
        <v>110.99</v>
      </c>
      <c r="J37" s="61" t="inlineStr">
        <is>
          <t>2026-03-30</t>
        </is>
      </c>
      <c r="K37" s="33" t="n">
        <v>57.2</v>
      </c>
      <c r="L37" s="62" t="n">
        <v>0.5153617443012884</v>
      </c>
      <c r="M37" s="63" t="n">
        <v>26</v>
      </c>
      <c r="N37" s="32" t="inlineStr">
        <is>
          <t>Active</t>
        </is>
      </c>
      <c r="O37" s="32" t="n"/>
      <c r="P37" s="64" t="n">
        <v>4.5</v>
      </c>
      <c r="Q37" s="63" t="n">
        <v>5972</v>
      </c>
      <c r="R37" s="63" t="n">
        <v>19665</v>
      </c>
      <c r="S37" s="63"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59" t="n">
        <v>94.98999999999999</v>
      </c>
      <c r="H38" s="32" t="inlineStr">
        <is>
          <t>Helium 10 Xray, 2026-10-13</t>
        </is>
      </c>
      <c r="I38" s="60" t="n">
        <v>106.99</v>
      </c>
      <c r="J38" s="61" t="inlineStr">
        <is>
          <t>2026-02-28</t>
        </is>
      </c>
      <c r="K38" s="33" t="n">
        <v>54.10999999999999</v>
      </c>
      <c r="L38" s="62" t="n">
        <v>0.5057482007664267</v>
      </c>
      <c r="M38" s="63" t="n">
        <v>24</v>
      </c>
      <c r="N38" s="32" t="inlineStr">
        <is>
          <t>Active</t>
        </is>
      </c>
      <c r="O38" s="32" t="n"/>
      <c r="P38" s="64" t="n">
        <v>4.5</v>
      </c>
      <c r="Q38" s="63" t="n">
        <v>5972</v>
      </c>
      <c r="R38" s="63" t="n">
        <v>19668</v>
      </c>
      <c r="S38" s="63"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59" t="n">
        <v>74.98999999999999</v>
      </c>
      <c r="H39" s="32" t="inlineStr">
        <is>
          <t>Helium 10 Xray, 2026-10-13</t>
        </is>
      </c>
      <c r="I39" s="60" t="n">
        <v>69.98999999999999</v>
      </c>
      <c r="J39" s="61" t="inlineStr">
        <is>
          <t>2026-03-30</t>
        </is>
      </c>
      <c r="K39" s="33" t="n">
        <v>27.67999999999999</v>
      </c>
      <c r="L39" s="62" t="n">
        <v>0.3954850692956136</v>
      </c>
      <c r="M39" s="63" t="n">
        <v>22</v>
      </c>
      <c r="N39" s="32" t="inlineStr">
        <is>
          <t>Active</t>
        </is>
      </c>
      <c r="O39" s="32" t="n"/>
      <c r="P39" s="64" t="n">
        <v>4.5</v>
      </c>
      <c r="Q39" s="63" t="n">
        <v>5972</v>
      </c>
      <c r="R39" s="63" t="n">
        <v>19665</v>
      </c>
      <c r="S39" s="63"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59" t="n">
        <v>89.98999999999999</v>
      </c>
      <c r="H40" s="32" t="inlineStr">
        <is>
          <t>Helium 10 Xray, 2026-10-13</t>
        </is>
      </c>
      <c r="I40" s="60" t="n">
        <v>79.98999999999999</v>
      </c>
      <c r="J40" s="61" t="inlineStr">
        <is>
          <t>2026-03-22</t>
        </is>
      </c>
      <c r="K40" s="33" t="n">
        <v>34.7</v>
      </c>
      <c r="L40" s="62" t="n">
        <v>0.433804225528191</v>
      </c>
      <c r="M40" s="63" t="n">
        <v>22</v>
      </c>
      <c r="N40" s="32" t="inlineStr">
        <is>
          <t>Active</t>
        </is>
      </c>
      <c r="O40" s="32" t="n"/>
      <c r="P40" s="64" t="n">
        <v>4.5</v>
      </c>
      <c r="Q40" s="63" t="n">
        <v>5972</v>
      </c>
      <c r="R40" s="63" t="n">
        <v>19665</v>
      </c>
      <c r="S40" s="63"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59" t="n">
        <v>94.98999999999999</v>
      </c>
      <c r="H41" s="32" t="inlineStr">
        <is>
          <t>Helium 10 Xray, 2026-10-13</t>
        </is>
      </c>
      <c r="I41" s="60" t="n">
        <v>84.98999999999999</v>
      </c>
      <c r="J41" s="61" t="inlineStr">
        <is>
          <t>2026-03-30</t>
        </is>
      </c>
      <c r="K41" s="33" t="n">
        <v>34.91</v>
      </c>
      <c r="L41" s="62" t="n">
        <v>0.4107542063772208</v>
      </c>
      <c r="M41" s="63" t="n">
        <v>19</v>
      </c>
      <c r="N41" s="32" t="inlineStr">
        <is>
          <t>Active</t>
        </is>
      </c>
      <c r="O41" s="32" t="n"/>
      <c r="P41" s="64" t="n">
        <v>4.5</v>
      </c>
      <c r="Q41" s="63" t="n">
        <v>5972</v>
      </c>
      <c r="R41" s="63" t="n">
        <v>19668</v>
      </c>
      <c r="S41" s="63"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59" t="n">
        <v>102.99</v>
      </c>
      <c r="H42" s="32" t="inlineStr">
        <is>
          <t>Helium 10 Xray, 2026-10-13</t>
        </is>
      </c>
      <c r="I42" s="33" t="n"/>
      <c r="J42" s="32" t="n"/>
      <c r="K42" s="33" t="n"/>
      <c r="L42" s="62" t="n"/>
      <c r="M42" s="63" t="n">
        <v>17</v>
      </c>
      <c r="N42" s="32" t="inlineStr">
        <is>
          <t>Active</t>
        </is>
      </c>
      <c r="O42" s="32" t="n"/>
      <c r="P42" s="64" t="n">
        <v>4.5</v>
      </c>
      <c r="Q42" s="63" t="n">
        <v>5972</v>
      </c>
      <c r="R42" s="63" t="n">
        <v>19665</v>
      </c>
      <c r="S42" s="63"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59" t="n">
        <v>96.98999999999999</v>
      </c>
      <c r="H43" s="32" t="inlineStr">
        <is>
          <t>Helium 10 Xray, 2026-10-13</t>
        </is>
      </c>
      <c r="I43" s="60" t="n">
        <v>79.98999999999999</v>
      </c>
      <c r="J43" s="61" t="inlineStr">
        <is>
          <t>2026-03-30</t>
        </is>
      </c>
      <c r="K43" s="33" t="n">
        <v>36.36</v>
      </c>
      <c r="L43" s="62" t="n">
        <v>0.4545568196024503</v>
      </c>
      <c r="M43" s="63" t="n">
        <v>17</v>
      </c>
      <c r="N43" s="32" t="inlineStr">
        <is>
          <t>Active</t>
        </is>
      </c>
      <c r="O43" s="32" t="n"/>
      <c r="P43" s="64" t="n">
        <v>4.5</v>
      </c>
      <c r="Q43" s="63" t="n">
        <v>5972</v>
      </c>
      <c r="R43" s="63" t="n">
        <v>19665</v>
      </c>
      <c r="S43" s="63"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59" t="n">
        <v>89.98999999999999</v>
      </c>
      <c r="H44" s="32" t="inlineStr">
        <is>
          <t>Helium 10 Xray, 2026-10-13</t>
        </is>
      </c>
      <c r="I44" s="60" t="n">
        <v>74.98999999999999</v>
      </c>
      <c r="J44" s="61" t="inlineStr">
        <is>
          <t>2026-03-30</t>
        </is>
      </c>
      <c r="K44" s="33" t="n">
        <v>30.62</v>
      </c>
      <c r="L44" s="62" t="n">
        <v>0.4083211094812642</v>
      </c>
      <c r="M44" s="63" t="n">
        <v>16</v>
      </c>
      <c r="N44" s="32" t="inlineStr">
        <is>
          <t>Active</t>
        </is>
      </c>
      <c r="O44" s="32" t="n"/>
      <c r="P44" s="64" t="n">
        <v>4.5</v>
      </c>
      <c r="Q44" s="63" t="n">
        <v>5972</v>
      </c>
      <c r="R44" s="63" t="n">
        <v>19665</v>
      </c>
      <c r="S44" s="63"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59" t="n">
        <v>74.98999999999999</v>
      </c>
      <c r="H45" s="32" t="inlineStr">
        <is>
          <t>Helium 10 Xray, 2026-10-13</t>
        </is>
      </c>
      <c r="I45" s="60" t="n">
        <v>69.98999999999999</v>
      </c>
      <c r="J45" s="61" t="inlineStr">
        <is>
          <t>2026-03-30</t>
        </is>
      </c>
      <c r="K45" s="33" t="n">
        <v>28.38</v>
      </c>
      <c r="L45" s="62" t="n">
        <v>0.4054864980711529</v>
      </c>
      <c r="M45" s="63" t="n">
        <v>15</v>
      </c>
      <c r="N45" s="32" t="inlineStr">
        <is>
          <t>Active</t>
        </is>
      </c>
      <c r="O45" s="32" t="n"/>
      <c r="P45" s="64" t="n">
        <v>4.5</v>
      </c>
      <c r="Q45" s="63" t="n">
        <v>5972</v>
      </c>
      <c r="R45" s="63" t="n">
        <v>19668</v>
      </c>
      <c r="S45" s="63"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59" t="n">
        <v>94.98999999999999</v>
      </c>
      <c r="H46" s="32" t="inlineStr">
        <is>
          <t>Helium 10 Xray, 2026-10-13</t>
        </is>
      </c>
      <c r="I46" s="33" t="n"/>
      <c r="J46" s="32" t="n"/>
      <c r="K46" s="33" t="n"/>
      <c r="L46" s="62" t="n"/>
      <c r="M46" s="63" t="n">
        <v>15</v>
      </c>
      <c r="N46" s="32" t="inlineStr">
        <is>
          <t>Active</t>
        </is>
      </c>
      <c r="O46" s="32" t="n"/>
      <c r="P46" s="64" t="n">
        <v>4.5</v>
      </c>
      <c r="Q46" s="63" t="n">
        <v>5972</v>
      </c>
      <c r="R46" s="63" t="n">
        <v>19665</v>
      </c>
      <c r="S46" s="63"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59" t="n">
        <v>94.98999999999999</v>
      </c>
      <c r="H47" s="32" t="inlineStr">
        <is>
          <t>Helium 10 Xray, 2026-10-13</t>
        </is>
      </c>
      <c r="I47" s="33" t="n"/>
      <c r="J47" s="32" t="n"/>
      <c r="K47" s="33" t="n"/>
      <c r="L47" s="62" t="n"/>
      <c r="M47" s="63" t="n">
        <v>14</v>
      </c>
      <c r="N47" s="32" t="inlineStr">
        <is>
          <t>Active</t>
        </is>
      </c>
      <c r="O47" s="32" t="n"/>
      <c r="P47" s="64" t="n">
        <v>4.5</v>
      </c>
      <c r="Q47" s="63" t="n">
        <v>5972</v>
      </c>
      <c r="R47" s="63" t="n">
        <v>19665</v>
      </c>
      <c r="S47" s="63"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59" t="n">
        <v>94.98999999999999</v>
      </c>
      <c r="H48" s="32" t="inlineStr">
        <is>
          <t>Helium 10 Xray, 2026-10-13</t>
        </is>
      </c>
      <c r="I48" s="60" t="n">
        <v>79.98999999999999</v>
      </c>
      <c r="J48" s="61" t="inlineStr">
        <is>
          <t>2026-02-26</t>
        </is>
      </c>
      <c r="K48" s="33" t="n">
        <v>30.89</v>
      </c>
      <c r="L48" s="62" t="n">
        <v>0.3861732716589574</v>
      </c>
      <c r="M48" s="63" t="n">
        <v>14</v>
      </c>
      <c r="N48" s="32" t="inlineStr">
        <is>
          <t>Active</t>
        </is>
      </c>
      <c r="O48" s="32" t="n"/>
      <c r="P48" s="64" t="n">
        <v>4.5</v>
      </c>
      <c r="Q48" s="63" t="n">
        <v>5972</v>
      </c>
      <c r="R48" s="63" t="n">
        <v>19665</v>
      </c>
      <c r="S48" s="63"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59" t="n">
        <v>89.98999999999999</v>
      </c>
      <c r="H49" s="32" t="inlineStr">
        <is>
          <t>Helium 10 Xray, 2026-10-13</t>
        </is>
      </c>
      <c r="I49" s="60" t="n">
        <v>99.98999999999999</v>
      </c>
      <c r="J49" s="61" t="inlineStr">
        <is>
          <t>2026-03-06</t>
        </is>
      </c>
      <c r="K49" s="33" t="n">
        <v>51.45999999999999</v>
      </c>
      <c r="L49" s="62" t="n">
        <v>0.5146514651465146</v>
      </c>
      <c r="M49" s="63" t="n">
        <v>14</v>
      </c>
      <c r="N49" s="32" t="inlineStr">
        <is>
          <t>Active</t>
        </is>
      </c>
      <c r="O49" s="32" t="n"/>
      <c r="P49" s="64" t="n">
        <v>4.5</v>
      </c>
      <c r="Q49" s="63" t="n">
        <v>5972</v>
      </c>
      <c r="R49" s="63" t="n">
        <v>19665</v>
      </c>
      <c r="S49" s="63"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59" t="n">
        <v>94.98999999999999</v>
      </c>
      <c r="H50" s="32" t="inlineStr">
        <is>
          <t>Helium 10 Xray, 2026-10-13</t>
        </is>
      </c>
      <c r="I50" s="33" t="n"/>
      <c r="J50" s="32" t="n"/>
      <c r="K50" s="33" t="n"/>
      <c r="L50" s="62" t="n"/>
      <c r="M50" s="63" t="n">
        <v>13</v>
      </c>
      <c r="N50" s="32" t="inlineStr">
        <is>
          <t>Active</t>
        </is>
      </c>
      <c r="O50" s="32" t="n"/>
      <c r="P50" s="64" t="n">
        <v>4.5</v>
      </c>
      <c r="Q50" s="63" t="n">
        <v>5972</v>
      </c>
      <c r="R50" s="63" t="n">
        <v>19665</v>
      </c>
      <c r="S50" s="63"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59" t="n">
        <v>83.98999999999999</v>
      </c>
      <c r="H51" s="32" t="inlineStr">
        <is>
          <t>Helium 10 Xray, 2026-10-13</t>
        </is>
      </c>
      <c r="I51" s="60" t="n">
        <v>90.98999999999999</v>
      </c>
      <c r="J51" s="61" t="inlineStr">
        <is>
          <t>2026-03-30</t>
        </is>
      </c>
      <c r="K51" s="33" t="n">
        <v>46.41999999999999</v>
      </c>
      <c r="L51" s="62" t="n">
        <v>0.5101659523024508</v>
      </c>
      <c r="M51" s="63" t="n">
        <v>13</v>
      </c>
      <c r="N51" s="32" t="inlineStr">
        <is>
          <t>Active</t>
        </is>
      </c>
      <c r="O51" s="32" t="n"/>
      <c r="P51" s="64" t="n">
        <v>4.5</v>
      </c>
      <c r="Q51" s="63" t="n">
        <v>5972</v>
      </c>
      <c r="R51" s="63" t="n">
        <v>19665</v>
      </c>
      <c r="S51" s="63"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0" t="n">
        <v>84.98999999999999</v>
      </c>
      <c r="J52" s="61" t="inlineStr">
        <is>
          <t>2026-03-22</t>
        </is>
      </c>
      <c r="K52" s="33" t="n">
        <v>34.37</v>
      </c>
      <c r="L52" s="62" t="n">
        <v>0.4044005177079656</v>
      </c>
      <c r="M52" s="63" t="n">
        <v>12</v>
      </c>
      <c r="N52" s="32" t="inlineStr">
        <is>
          <t>Inactive</t>
        </is>
      </c>
      <c r="O52" s="32" t="n"/>
      <c r="P52" s="64" t="n"/>
      <c r="Q52" s="63" t="n"/>
      <c r="R52" s="63" t="n"/>
      <c r="S52" s="63"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59" t="n">
        <v>74.98999999999999</v>
      </c>
      <c r="H53" s="32" t="inlineStr">
        <is>
          <t>Helium 10 Xray, 2026-10-13</t>
        </is>
      </c>
      <c r="I53" s="60" t="n">
        <v>69.98999999999999</v>
      </c>
      <c r="J53" s="61" t="inlineStr">
        <is>
          <t>2026-03-30</t>
        </is>
      </c>
      <c r="K53" s="33" t="n">
        <v>28.93999999999999</v>
      </c>
      <c r="L53" s="62" t="n">
        <v>0.4134876410915844</v>
      </c>
      <c r="M53" s="63" t="n">
        <v>12</v>
      </c>
      <c r="N53" s="32" t="n"/>
      <c r="O53" s="32" t="inlineStr">
        <is>
          <t>Yes (7%)</t>
        </is>
      </c>
      <c r="P53" s="64" t="n">
        <v>4.5</v>
      </c>
      <c r="Q53" s="63" t="n">
        <v>5972</v>
      </c>
      <c r="R53" s="63" t="n">
        <v>19665</v>
      </c>
      <c r="S53" s="63"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59" t="n">
        <v>64.98999999999999</v>
      </c>
      <c r="H54" s="32" t="inlineStr">
        <is>
          <t>Helium 10 Xray, 2026-10-13</t>
        </is>
      </c>
      <c r="I54" s="60" t="n">
        <v>59.99</v>
      </c>
      <c r="J54" s="61" t="inlineStr">
        <is>
          <t>2026-03-30</t>
        </is>
      </c>
      <c r="K54" s="33" t="n">
        <v>25.65</v>
      </c>
      <c r="L54" s="62" t="n">
        <v>0.4275712618769795</v>
      </c>
      <c r="M54" s="63" t="n">
        <v>12</v>
      </c>
      <c r="N54" s="32" t="inlineStr">
        <is>
          <t>Active</t>
        </is>
      </c>
      <c r="O54" s="32" t="n"/>
      <c r="P54" s="64" t="n">
        <v>4.5</v>
      </c>
      <c r="Q54" s="63" t="n">
        <v>5972</v>
      </c>
      <c r="R54" s="63" t="n">
        <v>19665</v>
      </c>
      <c r="S54" s="63"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59" t="n">
        <v>64.98999999999999</v>
      </c>
      <c r="H55" s="32" t="inlineStr">
        <is>
          <t>Helium 10 Xray, 2026-10-13</t>
        </is>
      </c>
      <c r="I55" s="60" t="n">
        <v>59.99</v>
      </c>
      <c r="J55" s="61" t="inlineStr">
        <is>
          <t>2026-03-30</t>
        </is>
      </c>
      <c r="K55" s="33" t="n">
        <v>25.98</v>
      </c>
      <c r="L55" s="62" t="n">
        <v>0.4330721786964495</v>
      </c>
      <c r="M55" s="63" t="n">
        <v>12</v>
      </c>
      <c r="N55" s="32" t="inlineStr">
        <is>
          <t>Active</t>
        </is>
      </c>
      <c r="O55" s="32" t="n"/>
      <c r="P55" s="64" t="n">
        <v>4.5</v>
      </c>
      <c r="Q55" s="63" t="n">
        <v>5972</v>
      </c>
      <c r="R55" s="63" t="n">
        <v>19665</v>
      </c>
      <c r="S55" s="63"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59" t="n">
        <v>64.98999999999999</v>
      </c>
      <c r="H56" s="32" t="inlineStr">
        <is>
          <t>Helium 10 Xray, 2026-10-13</t>
        </is>
      </c>
      <c r="I56" s="60" t="n">
        <v>59.99</v>
      </c>
      <c r="J56" s="61" t="inlineStr">
        <is>
          <t>2026-03-30</t>
        </is>
      </c>
      <c r="K56" s="33" t="n">
        <v>25.24</v>
      </c>
      <c r="L56" s="62" t="n">
        <v>0.4207367894649108</v>
      </c>
      <c r="M56" s="63" t="n">
        <v>12</v>
      </c>
      <c r="N56" s="32" t="inlineStr">
        <is>
          <t>Active</t>
        </is>
      </c>
      <c r="O56" s="32" t="n"/>
      <c r="P56" s="64" t="n">
        <v>4.5</v>
      </c>
      <c r="Q56" s="63" t="n">
        <v>5972</v>
      </c>
      <c r="R56" s="63" t="n">
        <v>19668</v>
      </c>
      <c r="S56" s="63"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59" t="n">
        <v>94.98999999999999</v>
      </c>
      <c r="H57" s="32" t="inlineStr">
        <is>
          <t>Helium 10 Xray, 2026-10-13</t>
        </is>
      </c>
      <c r="I57" s="33" t="n"/>
      <c r="J57" s="32" t="n"/>
      <c r="K57" s="33" t="n"/>
      <c r="L57" s="62" t="n"/>
      <c r="M57" s="63" t="n">
        <v>11</v>
      </c>
      <c r="N57" s="32" t="inlineStr">
        <is>
          <t>Active</t>
        </is>
      </c>
      <c r="O57" s="32" t="n"/>
      <c r="P57" s="64" t="n">
        <v>4.5</v>
      </c>
      <c r="Q57" s="63" t="n">
        <v>5972</v>
      </c>
      <c r="R57" s="63" t="n">
        <v>19668</v>
      </c>
      <c r="S57" s="63"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59" t="n">
        <v>69.98999999999999</v>
      </c>
      <c r="H58" s="32" t="inlineStr">
        <is>
          <t>Helium 10 Xray, 2026-10-13</t>
        </is>
      </c>
      <c r="I58" s="60" t="n">
        <v>81.98999999999999</v>
      </c>
      <c r="J58" s="61" t="inlineStr">
        <is>
          <t>2026-03-30</t>
        </is>
      </c>
      <c r="K58" s="33" t="n">
        <v>39.42</v>
      </c>
      <c r="L58" s="62" t="n">
        <v>0.4807903402854007</v>
      </c>
      <c r="M58" s="63" t="n">
        <v>10</v>
      </c>
      <c r="N58" s="32" t="inlineStr">
        <is>
          <t>Active</t>
        </is>
      </c>
      <c r="O58" s="32" t="n"/>
      <c r="P58" s="64" t="n">
        <v>4.5</v>
      </c>
      <c r="Q58" s="63" t="n">
        <v>5972</v>
      </c>
      <c r="R58" s="63" t="n">
        <v>19665</v>
      </c>
      <c r="S58" s="63"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59" t="n">
        <v>74.98999999999999</v>
      </c>
      <c r="H59" s="32" t="inlineStr">
        <is>
          <t>Helium 10 Xray, 2026-10-13</t>
        </is>
      </c>
      <c r="I59" s="60" t="n">
        <v>92.98999999999999</v>
      </c>
      <c r="J59" s="61" t="inlineStr">
        <is>
          <t>2026-03-30</t>
        </is>
      </c>
      <c r="K59" s="33" t="n">
        <v>47.83999999999999</v>
      </c>
      <c r="L59" s="62" t="n">
        <v>0.5144639208517044</v>
      </c>
      <c r="M59" s="63" t="n">
        <v>10</v>
      </c>
      <c r="N59" s="32" t="inlineStr">
        <is>
          <t>Active</t>
        </is>
      </c>
      <c r="O59" s="32" t="n"/>
      <c r="P59" s="64" t="n">
        <v>4.5</v>
      </c>
      <c r="Q59" s="63" t="n">
        <v>5972</v>
      </c>
      <c r="R59" s="63" t="n">
        <v>19668</v>
      </c>
      <c r="S59" s="63"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59" t="n">
        <v>89.98999999999999</v>
      </c>
      <c r="H60" s="32" t="inlineStr">
        <is>
          <t>Helium 10 Xray, 2026-10-13</t>
        </is>
      </c>
      <c r="I60" s="60" t="n">
        <v>79.98999999999999</v>
      </c>
      <c r="J60" s="61" t="inlineStr">
        <is>
          <t>2026-03-30</t>
        </is>
      </c>
      <c r="K60" s="33" t="n">
        <v>34.61999999999999</v>
      </c>
      <c r="L60" s="62" t="n">
        <v>0.432804100512564</v>
      </c>
      <c r="M60" s="63" t="n">
        <v>10</v>
      </c>
      <c r="N60" s="32" t="inlineStr">
        <is>
          <t>Active</t>
        </is>
      </c>
      <c r="O60" s="32" t="n"/>
      <c r="P60" s="64" t="n">
        <v>4.5</v>
      </c>
      <c r="Q60" s="63" t="n">
        <v>5972</v>
      </c>
      <c r="R60" s="63" t="n">
        <v>19665</v>
      </c>
      <c r="S60" s="63"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59" t="n">
        <v>94.98999999999999</v>
      </c>
      <c r="H61" s="32" t="inlineStr">
        <is>
          <t>Helium 10 Xray, 2026-10-13</t>
        </is>
      </c>
      <c r="I61" s="60" t="n">
        <v>84.98999999999999</v>
      </c>
      <c r="J61" s="61" t="inlineStr">
        <is>
          <t>2026-03-30</t>
        </is>
      </c>
      <c r="K61" s="33" t="n">
        <v>34.20999999999999</v>
      </c>
      <c r="L61" s="62" t="n">
        <v>0.4025179432874456</v>
      </c>
      <c r="M61" s="63" t="n">
        <v>9</v>
      </c>
      <c r="N61" s="32" t="inlineStr">
        <is>
          <t>Active</t>
        </is>
      </c>
      <c r="O61" s="32" t="n"/>
      <c r="P61" s="64" t="n">
        <v>4.5</v>
      </c>
      <c r="Q61" s="63" t="n">
        <v>5972</v>
      </c>
      <c r="R61" s="63" t="n">
        <v>19668</v>
      </c>
      <c r="S61" s="63"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59" t="n">
        <v>94.98999999999999</v>
      </c>
      <c r="H62" s="32" t="inlineStr">
        <is>
          <t>Helium 10 Xray, 2026-10-13</t>
        </is>
      </c>
      <c r="I62" s="60" t="n">
        <v>110.99</v>
      </c>
      <c r="J62" s="61" t="inlineStr">
        <is>
          <t>2026-03-30</t>
        </is>
      </c>
      <c r="K62" s="33" t="n">
        <v>57.33000000000001</v>
      </c>
      <c r="L62" s="62" t="n">
        <v>0.5165330209928823</v>
      </c>
      <c r="M62" s="63" t="n">
        <v>9</v>
      </c>
      <c r="N62" s="32" t="inlineStr">
        <is>
          <t>Active</t>
        </is>
      </c>
      <c r="O62" s="32" t="n"/>
      <c r="P62" s="64" t="n">
        <v>4.5</v>
      </c>
      <c r="Q62" s="63" t="n">
        <v>5972</v>
      </c>
      <c r="R62" s="63" t="n">
        <v>19668</v>
      </c>
      <c r="S62" s="63"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59" t="n">
        <v>64.98999999999999</v>
      </c>
      <c r="H63" s="32" t="inlineStr">
        <is>
          <t>Helium 10 Xray, 2026-10-13</t>
        </is>
      </c>
      <c r="I63" s="60" t="n">
        <v>59.99</v>
      </c>
      <c r="J63" s="61" t="inlineStr">
        <is>
          <t>2026-03-30</t>
        </is>
      </c>
      <c r="K63" s="33" t="n">
        <v>24.13</v>
      </c>
      <c r="L63" s="62" t="n">
        <v>0.402233705617603</v>
      </c>
      <c r="M63" s="63" t="n">
        <v>9</v>
      </c>
      <c r="N63" s="32" t="inlineStr">
        <is>
          <t>Active</t>
        </is>
      </c>
      <c r="O63" s="32" t="n"/>
      <c r="P63" s="64" t="n">
        <v>4.5</v>
      </c>
      <c r="Q63" s="63" t="n">
        <v>5972</v>
      </c>
      <c r="R63" s="63" t="n">
        <v>19665</v>
      </c>
      <c r="S63" s="63"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59" t="n">
        <v>94.98999999999999</v>
      </c>
      <c r="H64" s="32" t="inlineStr">
        <is>
          <t>Helium 10 Xray, 2026-10-13</t>
        </is>
      </c>
      <c r="I64" s="60" t="n">
        <v>79.98999999999999</v>
      </c>
      <c r="J64" s="61" t="inlineStr">
        <is>
          <t>2026-03-04</t>
        </is>
      </c>
      <c r="K64" s="33" t="n">
        <v>30.93</v>
      </c>
      <c r="L64" s="62" t="n">
        <v>0.3866733341667708</v>
      </c>
      <c r="M64" s="63" t="n">
        <v>8</v>
      </c>
      <c r="N64" s="32" t="inlineStr">
        <is>
          <t>Active</t>
        </is>
      </c>
      <c r="O64" s="32" t="n"/>
      <c r="P64" s="64" t="n">
        <v>4.5</v>
      </c>
      <c r="Q64" s="63" t="n">
        <v>5972</v>
      </c>
      <c r="R64" s="63" t="n">
        <v>19665</v>
      </c>
      <c r="S64" s="63"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59" t="n">
        <v>74.98999999999999</v>
      </c>
      <c r="H65" s="32" t="inlineStr">
        <is>
          <t>Helium 10 Xray, 2026-10-13</t>
        </is>
      </c>
      <c r="I65" s="33" t="n"/>
      <c r="J65" s="32" t="n"/>
      <c r="K65" s="33" t="n"/>
      <c r="L65" s="62" t="n"/>
      <c r="M65" s="63" t="n">
        <v>8</v>
      </c>
      <c r="N65" s="32" t="inlineStr">
        <is>
          <t>Active</t>
        </is>
      </c>
      <c r="O65" s="32" t="inlineStr">
        <is>
          <t>Yes (4%)</t>
        </is>
      </c>
      <c r="P65" s="64" t="n">
        <v>4.5</v>
      </c>
      <c r="Q65" s="63" t="n">
        <v>5972</v>
      </c>
      <c r="R65" s="63" t="n">
        <v>19665</v>
      </c>
      <c r="S65" s="63"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59" t="n">
        <v>84.98999999999999</v>
      </c>
      <c r="H66" s="32" t="inlineStr">
        <is>
          <t>Helium 10 Xray, 2026-10-13</t>
        </is>
      </c>
      <c r="I66" s="60" t="n">
        <v>110.99</v>
      </c>
      <c r="J66" s="61" t="inlineStr">
        <is>
          <t>2026-03-30</t>
        </is>
      </c>
      <c r="K66" s="33" t="n">
        <v>57.99000000000001</v>
      </c>
      <c r="L66" s="62" t="n">
        <v>0.5224795026578972</v>
      </c>
      <c r="M66" s="63" t="n">
        <v>8</v>
      </c>
      <c r="N66" s="32" t="inlineStr">
        <is>
          <t>Active</t>
        </is>
      </c>
      <c r="O66" s="32" t="n"/>
      <c r="P66" s="64" t="n">
        <v>4.5</v>
      </c>
      <c r="Q66" s="63" t="n">
        <v>5972</v>
      </c>
      <c r="R66" s="63" t="n">
        <v>19665</v>
      </c>
      <c r="S66" s="63"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59" t="n">
        <v>64.98999999999999</v>
      </c>
      <c r="H67" s="32" t="inlineStr">
        <is>
          <t>Helium 10 Xray, 2026-10-13</t>
        </is>
      </c>
      <c r="I67" s="60" t="n">
        <v>86.98999999999999</v>
      </c>
      <c r="J67" s="61" t="inlineStr">
        <is>
          <t>2026-03-30</t>
        </is>
      </c>
      <c r="K67" s="33" t="n">
        <v>47.59</v>
      </c>
      <c r="L67" s="62" t="n">
        <v>0.5470743763650995</v>
      </c>
      <c r="M67" s="63" t="n">
        <v>8</v>
      </c>
      <c r="N67" s="32" t="n"/>
      <c r="O67" s="32" t="n"/>
      <c r="P67" s="64" t="n">
        <v>4.5</v>
      </c>
      <c r="Q67" s="63" t="n">
        <v>5972</v>
      </c>
      <c r="R67" s="63" t="n">
        <v>19668</v>
      </c>
      <c r="S67" s="63"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59" t="n">
        <v>64.98999999999999</v>
      </c>
      <c r="H68" s="32" t="inlineStr">
        <is>
          <t>Helium 10 Xray, 2026-10-13</t>
        </is>
      </c>
      <c r="I68" s="60" t="n">
        <v>81.98999999999999</v>
      </c>
      <c r="J68" s="61" t="inlineStr">
        <is>
          <t>2026-03-30</t>
        </is>
      </c>
      <c r="K68" s="33" t="n">
        <v>42.84</v>
      </c>
      <c r="L68" s="62" t="n">
        <v>0.5225027442371022</v>
      </c>
      <c r="M68" s="63" t="n">
        <v>8</v>
      </c>
      <c r="N68" s="32" t="inlineStr">
        <is>
          <t>Active</t>
        </is>
      </c>
      <c r="O68" s="32" t="n"/>
      <c r="P68" s="64" t="n">
        <v>4.5</v>
      </c>
      <c r="Q68" s="63" t="n">
        <v>5972</v>
      </c>
      <c r="R68" s="63" t="n">
        <v>19665</v>
      </c>
      <c r="S68" s="63"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59" t="n">
        <v>64.98999999999999</v>
      </c>
      <c r="H69" s="32" t="inlineStr">
        <is>
          <t>Helium 10 Xray, 2026-10-13</t>
        </is>
      </c>
      <c r="I69" s="60" t="n">
        <v>59.99</v>
      </c>
      <c r="J69" s="61" t="inlineStr">
        <is>
          <t>2026-03-30</t>
        </is>
      </c>
      <c r="K69" s="33" t="n">
        <v>25.36</v>
      </c>
      <c r="L69" s="62" t="n">
        <v>0.4227371228538089</v>
      </c>
      <c r="M69" s="63" t="n">
        <v>8</v>
      </c>
      <c r="N69" s="32" t="inlineStr">
        <is>
          <t>Active</t>
        </is>
      </c>
      <c r="O69" s="32" t="n"/>
      <c r="P69" s="64" t="n">
        <v>4.5</v>
      </c>
      <c r="Q69" s="63" t="n">
        <v>5972</v>
      </c>
      <c r="R69" s="63" t="n">
        <v>19665</v>
      </c>
      <c r="S69" s="63"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59" t="n">
        <v>64.98999999999999</v>
      </c>
      <c r="H70" s="32" t="inlineStr">
        <is>
          <t>Helium 10 Xray, 2026-10-13</t>
        </is>
      </c>
      <c r="I70" s="60" t="n">
        <v>59.99</v>
      </c>
      <c r="J70" s="61" t="inlineStr">
        <is>
          <t>2026-03-30</t>
        </is>
      </c>
      <c r="K70" s="33" t="n">
        <v>25.62</v>
      </c>
      <c r="L70" s="62" t="n">
        <v>0.427071178529755</v>
      </c>
      <c r="M70" s="63" t="n">
        <v>8</v>
      </c>
      <c r="N70" s="32" t="inlineStr">
        <is>
          <t>Active</t>
        </is>
      </c>
      <c r="O70" s="32" t="n"/>
      <c r="P70" s="64" t="n">
        <v>4.5</v>
      </c>
      <c r="Q70" s="63" t="n">
        <v>5972</v>
      </c>
      <c r="R70" s="63" t="n">
        <v>19665</v>
      </c>
      <c r="S70" s="63"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59" t="n">
        <v>64.98999999999999</v>
      </c>
      <c r="H71" s="32" t="inlineStr">
        <is>
          <t>Helium 10 Xray, 2026-10-13</t>
        </is>
      </c>
      <c r="I71" s="60" t="n">
        <v>59.99</v>
      </c>
      <c r="J71" s="61" t="inlineStr">
        <is>
          <t>2026-03-30</t>
        </is>
      </c>
      <c r="K71" s="33" t="n">
        <v>22.35</v>
      </c>
      <c r="L71" s="62" t="n">
        <v>0.3725620936822803</v>
      </c>
      <c r="M71" s="63" t="n">
        <v>7</v>
      </c>
      <c r="N71" s="32" t="inlineStr">
        <is>
          <t>Active</t>
        </is>
      </c>
      <c r="O71" s="32" t="n"/>
      <c r="P71" s="64" t="n">
        <v>4.5</v>
      </c>
      <c r="Q71" s="63" t="n">
        <v>5972</v>
      </c>
      <c r="R71" s="63" t="n">
        <v>19665</v>
      </c>
      <c r="S71" s="63"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59" t="n">
        <v>64.98999999999999</v>
      </c>
      <c r="H72" s="32" t="inlineStr">
        <is>
          <t>Helium 10 Xray, 2026-10-13</t>
        </is>
      </c>
      <c r="I72" s="60" t="n">
        <v>59.99</v>
      </c>
      <c r="J72" s="61" t="inlineStr">
        <is>
          <t>2026-03-30</t>
        </is>
      </c>
      <c r="K72" s="33" t="n">
        <v>25.33</v>
      </c>
      <c r="L72" s="62" t="n">
        <v>0.4222370395065844</v>
      </c>
      <c r="M72" s="63" t="n">
        <v>6</v>
      </c>
      <c r="N72" s="32" t="inlineStr">
        <is>
          <t>Active</t>
        </is>
      </c>
      <c r="O72" s="32" t="n"/>
      <c r="P72" s="64" t="n">
        <v>4.5</v>
      </c>
      <c r="Q72" s="63" t="n">
        <v>5972</v>
      </c>
      <c r="R72" s="63" t="n">
        <v>19665</v>
      </c>
      <c r="S72" s="63"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59" t="n">
        <v>64.98999999999999</v>
      </c>
      <c r="H73" s="32" t="inlineStr">
        <is>
          <t>Helium 10 Xray, 2026-10-13</t>
        </is>
      </c>
      <c r="I73" s="60" t="n">
        <v>54.99</v>
      </c>
      <c r="J73" s="61" t="inlineStr">
        <is>
          <t>2026-03-30</t>
        </is>
      </c>
      <c r="K73" s="33" t="n">
        <v>19.61</v>
      </c>
      <c r="L73" s="62" t="n">
        <v>0.3566102927805055</v>
      </c>
      <c r="M73" s="63" t="n">
        <v>6</v>
      </c>
      <c r="N73" s="32" t="n"/>
      <c r="O73" s="32" t="n"/>
      <c r="P73" s="64" t="n">
        <v>4.5</v>
      </c>
      <c r="Q73" s="63" t="n">
        <v>5972</v>
      </c>
      <c r="R73" s="63" t="n">
        <v>19665</v>
      </c>
      <c r="S73" s="63"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59" t="n">
        <v>94.98999999999999</v>
      </c>
      <c r="H74" s="32" t="inlineStr">
        <is>
          <t>Helium 10 Xray, 2026-10-13</t>
        </is>
      </c>
      <c r="I74" s="60" t="n">
        <v>84.98999999999999</v>
      </c>
      <c r="J74" s="61" t="inlineStr">
        <is>
          <t>2026-03-30</t>
        </is>
      </c>
      <c r="K74" s="33" t="n">
        <v>33.45999999999999</v>
      </c>
      <c r="L74" s="62" t="n">
        <v>0.3936933756912577</v>
      </c>
      <c r="M74" s="63" t="n">
        <v>5</v>
      </c>
      <c r="N74" s="32" t="inlineStr">
        <is>
          <t>Active</t>
        </is>
      </c>
      <c r="O74" s="32" t="n"/>
      <c r="P74" s="64" t="n">
        <v>4.5</v>
      </c>
      <c r="Q74" s="63" t="n">
        <v>5972</v>
      </c>
      <c r="R74" s="63" t="n">
        <v>19665</v>
      </c>
      <c r="S74" s="63"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59" t="n">
        <v>74.98999999999999</v>
      </c>
      <c r="H75" s="32" t="inlineStr">
        <is>
          <t>Helium 10 Xray, 2026-10-13</t>
        </is>
      </c>
      <c r="I75" s="60" t="n">
        <v>69.98999999999999</v>
      </c>
      <c r="J75" s="61" t="inlineStr">
        <is>
          <t>2026-03-30</t>
        </is>
      </c>
      <c r="K75" s="33" t="n">
        <v>28.38</v>
      </c>
      <c r="L75" s="62" t="n">
        <v>0.4054864980711529</v>
      </c>
      <c r="M75" s="63" t="n">
        <v>5</v>
      </c>
      <c r="N75" s="32" t="inlineStr">
        <is>
          <t>Active</t>
        </is>
      </c>
      <c r="O75" s="32" t="n"/>
      <c r="P75" s="64" t="n">
        <v>4.5</v>
      </c>
      <c r="Q75" s="63" t="n">
        <v>5972</v>
      </c>
      <c r="R75" s="63" t="n">
        <v>19665</v>
      </c>
      <c r="S75" s="63"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59" t="n">
        <v>69.98999999999999</v>
      </c>
      <c r="H76" s="32" t="inlineStr">
        <is>
          <t>Helium 10 Xray, 2026-10-13</t>
        </is>
      </c>
      <c r="I76" s="60" t="n">
        <v>69.98999999999999</v>
      </c>
      <c r="J76" s="61" t="inlineStr">
        <is>
          <t>2026-03-30</t>
        </is>
      </c>
      <c r="K76" s="33" t="n">
        <v>28.82999999999999</v>
      </c>
      <c r="L76" s="62" t="n">
        <v>0.4119159879982854</v>
      </c>
      <c r="M76" s="63" t="n">
        <v>5</v>
      </c>
      <c r="N76" s="32" t="inlineStr">
        <is>
          <t>Active</t>
        </is>
      </c>
      <c r="O76" s="32" t="n"/>
      <c r="P76" s="64" t="n">
        <v>3.9</v>
      </c>
      <c r="Q76" s="63" t="n">
        <v>61</v>
      </c>
      <c r="R76" s="63" t="n">
        <v>1536373</v>
      </c>
      <c r="S76" s="63" t="n">
        <v>10</v>
      </c>
      <c r="T76" s="65"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59" t="n">
        <v>64.98999999999999</v>
      </c>
      <c r="H77" s="32" t="inlineStr">
        <is>
          <t>Helium 10 Xray, 2026-10-13</t>
        </is>
      </c>
      <c r="I77" s="60" t="n">
        <v>86.98999999999999</v>
      </c>
      <c r="J77" s="61" t="inlineStr">
        <is>
          <t>2026-03-30</t>
        </is>
      </c>
      <c r="K77" s="33" t="n">
        <v>48.2</v>
      </c>
      <c r="L77" s="62" t="n">
        <v>0.5540866766294977</v>
      </c>
      <c r="M77" s="63" t="n">
        <v>5</v>
      </c>
      <c r="N77" s="32" t="inlineStr">
        <is>
          <t>Active</t>
        </is>
      </c>
      <c r="O77" s="32" t="n"/>
      <c r="P77" s="64" t="n">
        <v>4.5</v>
      </c>
      <c r="Q77" s="63" t="n">
        <v>5972</v>
      </c>
      <c r="R77" s="63" t="n">
        <v>19665</v>
      </c>
      <c r="S77" s="63"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59" t="n">
        <v>94.98999999999999</v>
      </c>
      <c r="H78" s="32" t="inlineStr">
        <is>
          <t>Helium 10 Xray, 2026-10-13</t>
        </is>
      </c>
      <c r="I78" s="33" t="n"/>
      <c r="J78" s="32" t="n"/>
      <c r="K78" s="33" t="n"/>
      <c r="L78" s="62" t="n"/>
      <c r="M78" s="63" t="n">
        <v>4</v>
      </c>
      <c r="N78" s="32" t="inlineStr">
        <is>
          <t>Active</t>
        </is>
      </c>
      <c r="O78" s="32" t="n"/>
      <c r="P78" s="64" t="n">
        <v>4.5</v>
      </c>
      <c r="Q78" s="63" t="n">
        <v>5972</v>
      </c>
      <c r="R78" s="63" t="n">
        <v>19665</v>
      </c>
      <c r="S78" s="63"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59" t="n">
        <v>94.98999999999999</v>
      </c>
      <c r="H79" s="32" t="inlineStr">
        <is>
          <t>Helium 10 Xray, 2026-10-13</t>
        </is>
      </c>
      <c r="I79" s="60" t="n">
        <v>79.98999999999999</v>
      </c>
      <c r="J79" s="61" t="inlineStr">
        <is>
          <t>2026-03-10</t>
        </is>
      </c>
      <c r="K79" s="33" t="n">
        <v>31.45</v>
      </c>
      <c r="L79" s="62" t="n">
        <v>0.393174146768346</v>
      </c>
      <c r="M79" s="63" t="n">
        <v>4</v>
      </c>
      <c r="N79" s="32" t="inlineStr">
        <is>
          <t>Active</t>
        </is>
      </c>
      <c r="O79" s="32" t="n"/>
      <c r="P79" s="64" t="n">
        <v>4.5</v>
      </c>
      <c r="Q79" s="63" t="n">
        <v>5972</v>
      </c>
      <c r="R79" s="63" t="n">
        <v>19668</v>
      </c>
      <c r="S79" s="63"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59" t="n">
        <v>74.98999999999999</v>
      </c>
      <c r="H80" s="32" t="inlineStr">
        <is>
          <t>Helium 10 Xray, 2026-10-13</t>
        </is>
      </c>
      <c r="I80" s="60" t="n">
        <v>90.98999999999999</v>
      </c>
      <c r="J80" s="61" t="inlineStr">
        <is>
          <t>2026-03-30</t>
        </is>
      </c>
      <c r="K80" s="33" t="n">
        <v>45.73999999999999</v>
      </c>
      <c r="L80" s="62" t="n">
        <v>0.5026926035828112</v>
      </c>
      <c r="M80" s="63" t="n">
        <v>4</v>
      </c>
      <c r="N80" s="32" t="inlineStr">
        <is>
          <t>Active</t>
        </is>
      </c>
      <c r="O80" s="32" t="n"/>
      <c r="P80" s="64" t="n">
        <v>4.5</v>
      </c>
      <c r="Q80" s="63" t="n">
        <v>5972</v>
      </c>
      <c r="R80" s="63" t="n">
        <v>19665</v>
      </c>
      <c r="S80" s="63"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59" t="n">
        <v>55.05</v>
      </c>
      <c r="H81" s="32" t="inlineStr">
        <is>
          <t>Helium 10 Xray, 2026-10-13</t>
        </is>
      </c>
      <c r="I81" s="60" t="n">
        <v>64.98999999999999</v>
      </c>
      <c r="J81" s="61" t="inlineStr">
        <is>
          <t>2026-03-04</t>
        </is>
      </c>
      <c r="K81" s="33" t="n">
        <v>25.06</v>
      </c>
      <c r="L81" s="62" t="n">
        <v>0.3855977842745038</v>
      </c>
      <c r="M81" s="63" t="n">
        <v>4</v>
      </c>
      <c r="N81" s="32" t="inlineStr">
        <is>
          <t>Active</t>
        </is>
      </c>
      <c r="O81" s="32" t="n"/>
      <c r="P81" s="64" t="n">
        <v>4.5</v>
      </c>
      <c r="Q81" s="63" t="n">
        <v>5972</v>
      </c>
      <c r="R81" s="63" t="n">
        <v>19665</v>
      </c>
      <c r="S81" s="63"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59" t="n">
        <v>64.98999999999999</v>
      </c>
      <c r="H82" s="32" t="inlineStr">
        <is>
          <t>Helium 10 Xray, 2026-10-13</t>
        </is>
      </c>
      <c r="I82" s="60" t="n">
        <v>59.99</v>
      </c>
      <c r="J82" s="61" t="inlineStr">
        <is>
          <t>2026-03-30</t>
        </is>
      </c>
      <c r="K82" s="33" t="n">
        <v>24.98</v>
      </c>
      <c r="L82" s="62" t="n">
        <v>0.4164027337889648</v>
      </c>
      <c r="M82" s="63" t="n">
        <v>4</v>
      </c>
      <c r="N82" s="32" t="n"/>
      <c r="O82" s="32" t="n"/>
      <c r="P82" s="64" t="n">
        <v>4.5</v>
      </c>
      <c r="Q82" s="63" t="n">
        <v>5972</v>
      </c>
      <c r="R82" s="63" t="n">
        <v>19665</v>
      </c>
      <c r="S82" s="63"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59" t="n">
        <v>94.98999999999999</v>
      </c>
      <c r="H83" s="32" t="inlineStr">
        <is>
          <t>Helium 10 Xray, 2026-10-13</t>
        </is>
      </c>
      <c r="I83" s="60" t="n">
        <v>79.98999999999999</v>
      </c>
      <c r="J83" s="61" t="inlineStr">
        <is>
          <t>2026-03-04</t>
        </is>
      </c>
      <c r="K83" s="33" t="n">
        <v>30.34999999999999</v>
      </c>
      <c r="L83" s="62" t="n">
        <v>0.3794224278034754</v>
      </c>
      <c r="M83" s="63" t="n">
        <v>3</v>
      </c>
      <c r="N83" s="32" t="inlineStr">
        <is>
          <t>Active</t>
        </is>
      </c>
      <c r="O83" s="32" t="n"/>
      <c r="P83" s="64" t="n">
        <v>4.5</v>
      </c>
      <c r="Q83" s="63" t="n">
        <v>5972</v>
      </c>
      <c r="R83" s="63" t="n">
        <v>19665</v>
      </c>
      <c r="S83" s="63"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59" t="n">
        <v>94.98999999999999</v>
      </c>
      <c r="H84" s="32" t="inlineStr">
        <is>
          <t>Helium 10 Xray, 2026-10-13</t>
        </is>
      </c>
      <c r="I84" s="60" t="n">
        <v>84.98999999999999</v>
      </c>
      <c r="J84" s="61" t="inlineStr">
        <is>
          <t>2026-03-30</t>
        </is>
      </c>
      <c r="K84" s="33" t="n">
        <v>33.48999999999999</v>
      </c>
      <c r="L84" s="62" t="n">
        <v>0.3940463583951053</v>
      </c>
      <c r="M84" s="63" t="n">
        <v>3</v>
      </c>
      <c r="N84" s="32" t="inlineStr">
        <is>
          <t>Active</t>
        </is>
      </c>
      <c r="O84" s="32" t="n"/>
      <c r="P84" s="64" t="n">
        <v>4.5</v>
      </c>
      <c r="Q84" s="63" t="n">
        <v>5972</v>
      </c>
      <c r="R84" s="63" t="n">
        <v>19668</v>
      </c>
      <c r="S84" s="63"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59" t="n">
        <v>64.98999999999999</v>
      </c>
      <c r="H85" s="32" t="inlineStr">
        <is>
          <t>Helium 10 Xray, 2026-10-13</t>
        </is>
      </c>
      <c r="I85" s="60" t="n">
        <v>54.99</v>
      </c>
      <c r="J85" s="61" t="inlineStr">
        <is>
          <t>2026-03-04</t>
        </is>
      </c>
      <c r="K85" s="33" t="n">
        <v>19.34</v>
      </c>
      <c r="L85" s="62" t="n">
        <v>0.3517003091471176</v>
      </c>
      <c r="M85" s="63" t="n">
        <v>2</v>
      </c>
      <c r="N85" s="32" t="inlineStr">
        <is>
          <t>Active</t>
        </is>
      </c>
      <c r="O85" s="32" t="n"/>
      <c r="P85" s="64" t="n">
        <v>4.5</v>
      </c>
      <c r="Q85" s="63" t="n">
        <v>5972</v>
      </c>
      <c r="R85" s="63" t="n">
        <v>19665</v>
      </c>
      <c r="S85" s="63" t="n">
        <v>13</v>
      </c>
      <c r="T85" s="32" t="n"/>
    </row>
    <row r="86" ht="62" customHeight="1">
      <c r="A86" s="10">
        <f>_xlfn.IMAGE("https://m.media-amazon.com/images/I/81kW25KnIDL.jpg")</f>
        <v/>
      </c>
      <c r="B86" s="32" t="inlineStr">
        <is>
          <t>B0CRHYS5KT</t>
        </is>
      </c>
      <c r="C86" s="32" t="inlineStr">
        <is>
          <t>BAMBOO-FULL-BURGUNDY-NEW</t>
        </is>
      </c>
      <c r="D86" s="32" t="n"/>
      <c r="E86" s="32" t="inlineStr">
        <is>
          <t>Full</t>
        </is>
      </c>
      <c r="F86" s="32" t="inlineStr">
        <is>
          <t>Burgundy</t>
        </is>
      </c>
      <c r="G86" s="33" t="n"/>
      <c r="H86" s="32" t="n"/>
      <c r="I86" s="60" t="n">
        <v>96.98999999999999</v>
      </c>
      <c r="J86" s="61" t="inlineStr">
        <is>
          <t>2026-03-30</t>
        </is>
      </c>
      <c r="K86" s="33" t="n">
        <v>51.41</v>
      </c>
      <c r="L86" s="62" t="n">
        <v>0.5300546448087432</v>
      </c>
      <c r="M86" s="63" t="n">
        <v>1</v>
      </c>
      <c r="N86" s="32" t="n"/>
      <c r="O86" s="32" t="n"/>
      <c r="P86" s="64" t="n"/>
      <c r="Q86" s="63" t="n"/>
      <c r="R86" s="63" t="n"/>
      <c r="S86" s="63"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59" t="n">
        <v>69.98999999999999</v>
      </c>
      <c r="H87" s="32" t="inlineStr">
        <is>
          <t>Helium 10 Xray, 2026-10-13</t>
        </is>
      </c>
      <c r="I87" s="60" t="n">
        <v>69.98999999999999</v>
      </c>
      <c r="J87" s="61" t="inlineStr">
        <is>
          <t>2026-03-30</t>
        </is>
      </c>
      <c r="K87" s="33" t="n">
        <v>28.25999999999999</v>
      </c>
      <c r="L87" s="62" t="n">
        <v>0.4037719674239176</v>
      </c>
      <c r="M87" s="63" t="n">
        <v>1</v>
      </c>
      <c r="N87" s="32" t="n"/>
      <c r="O87" s="32" t="n"/>
      <c r="P87" s="64" t="n">
        <v>4.5</v>
      </c>
      <c r="Q87" s="63" t="n">
        <v>5972</v>
      </c>
      <c r="R87" s="63" t="n">
        <v>19665</v>
      </c>
      <c r="S87" s="63" t="n">
        <v>11</v>
      </c>
      <c r="T87" s="32" t="n"/>
    </row>
    <row r="88" ht="62" customHeight="1">
      <c r="A88" s="10">
        <f>_xlfn.IMAGE("https://m.media-amazon.com/images/I/81bmbyz5uFL.jpg")</f>
        <v/>
      </c>
      <c r="B88" s="32" t="inlineStr">
        <is>
          <t>B08KQJBRKM</t>
        </is>
      </c>
      <c r="C88" s="32" t="inlineStr">
        <is>
          <t>BAMBOO-FULL-TAUPE</t>
        </is>
      </c>
      <c r="D88" s="32" t="n"/>
      <c r="E88" s="32" t="inlineStr">
        <is>
          <t>Full</t>
        </is>
      </c>
      <c r="F88" s="32" t="inlineStr">
        <is>
          <t>Taupe</t>
        </is>
      </c>
      <c r="G88" s="33" t="n"/>
      <c r="H88" s="32" t="n"/>
      <c r="I88" s="60" t="n">
        <v>69.98999999999999</v>
      </c>
      <c r="J88" s="61" t="inlineStr">
        <is>
          <t>2026-03-30</t>
        </is>
      </c>
      <c r="K88" s="33" t="n">
        <v>28.9</v>
      </c>
      <c r="L88" s="62" t="n">
        <v>0.4129161308758394</v>
      </c>
      <c r="M88" s="63" t="n">
        <v>1</v>
      </c>
      <c r="N88" s="32" t="n"/>
      <c r="O88" s="32" t="n"/>
      <c r="P88" s="64" t="n"/>
      <c r="Q88" s="63" t="n"/>
      <c r="R88" s="63" t="n"/>
      <c r="S88" s="63"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59" t="n">
        <v>84.98999999999999</v>
      </c>
      <c r="H89" s="32" t="inlineStr">
        <is>
          <t>Helium 10 Xray, 2026-10-13</t>
        </is>
      </c>
      <c r="I89" s="60" t="n">
        <v>84.98999999999999</v>
      </c>
      <c r="J89" s="61" t="inlineStr">
        <is>
          <t>2026-03-30</t>
        </is>
      </c>
      <c r="K89" s="33" t="n">
        <v>35.21999999999999</v>
      </c>
      <c r="L89" s="62" t="n">
        <v>0.4144016943169784</v>
      </c>
      <c r="M89" s="63" t="n">
        <v>1</v>
      </c>
      <c r="N89" s="32" t="inlineStr">
        <is>
          <t>Active</t>
        </is>
      </c>
      <c r="O89" s="32" t="n"/>
      <c r="P89" s="64" t="n">
        <v>4.5</v>
      </c>
      <c r="Q89" s="63" t="n">
        <v>5972</v>
      </c>
      <c r="R89" s="63" t="n">
        <v>19668</v>
      </c>
      <c r="S89" s="63"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0" t="n">
        <v>74.98999999999999</v>
      </c>
      <c r="J90" s="61" t="inlineStr">
        <is>
          <t>2026-03-04</t>
        </is>
      </c>
      <c r="K90" s="33" t="n">
        <v>31.59</v>
      </c>
      <c r="L90" s="62" t="n">
        <v>0.4212561674889985</v>
      </c>
      <c r="M90" s="63" t="n">
        <v>1</v>
      </c>
      <c r="N90" s="32" t="inlineStr">
        <is>
          <t>Inactive</t>
        </is>
      </c>
      <c r="O90" s="32" t="n"/>
      <c r="P90" s="64" t="n"/>
      <c r="Q90" s="63" t="n"/>
      <c r="R90" s="63" t="n"/>
      <c r="S90" s="63"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59" t="n">
        <v>84.98999999999999</v>
      </c>
      <c r="H91" s="32" t="inlineStr">
        <is>
          <t>Helium 10 Xray, 2026-10-13</t>
        </is>
      </c>
      <c r="I91" s="60" t="n">
        <v>84.98999999999999</v>
      </c>
      <c r="J91" s="61" t="inlineStr">
        <is>
          <t>2026-03-30</t>
        </is>
      </c>
      <c r="K91" s="33" t="n">
        <v>33.77</v>
      </c>
      <c r="L91" s="62" t="n">
        <v>0.3973408636310154</v>
      </c>
      <c r="M91" s="63" t="n">
        <v>0</v>
      </c>
      <c r="N91" s="32" t="inlineStr">
        <is>
          <t>Inactive</t>
        </is>
      </c>
      <c r="O91" s="32" t="n"/>
      <c r="P91" s="64" t="n">
        <v>4.5</v>
      </c>
      <c r="Q91" s="63" t="n">
        <v>5972</v>
      </c>
      <c r="R91" s="63" t="n">
        <v>19665</v>
      </c>
      <c r="S91" s="63"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2" t="n"/>
      <c r="M92" s="63" t="n"/>
      <c r="N92" s="32" t="inlineStr">
        <is>
          <t>Inactive</t>
        </is>
      </c>
      <c r="O92" s="32" t="n"/>
      <c r="P92" s="64" t="n"/>
      <c r="Q92" s="63" t="n"/>
      <c r="R92" s="63" t="n"/>
      <c r="S92" s="63"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59" t="n">
        <v>69.98999999999999</v>
      </c>
      <c r="H93" s="32" t="inlineStr">
        <is>
          <t>Helium 10 Xray, 2026-10-13</t>
        </is>
      </c>
      <c r="I93" s="60" t="n">
        <v>64.98999999999999</v>
      </c>
      <c r="J93" s="61" t="inlineStr">
        <is>
          <t>2026-03-30</t>
        </is>
      </c>
      <c r="K93" s="33" t="n">
        <v>24.60999999999999</v>
      </c>
      <c r="L93" s="62" t="n">
        <v>0.3786736420987843</v>
      </c>
      <c r="M93" s="63" t="n">
        <v>0</v>
      </c>
      <c r="N93" s="32" t="inlineStr">
        <is>
          <t>Active</t>
        </is>
      </c>
      <c r="O93" s="32" t="n"/>
      <c r="P93" s="64" t="n">
        <v>4.5</v>
      </c>
      <c r="Q93" s="63" t="n">
        <v>5972</v>
      </c>
      <c r="R93" s="63" t="n">
        <v>19665</v>
      </c>
      <c r="S93" s="63"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59" t="n">
        <v>84.98999999999999</v>
      </c>
      <c r="H94" s="32" t="inlineStr">
        <is>
          <t>Helium 10 Xray, 2026-10-13</t>
        </is>
      </c>
      <c r="I94" s="60" t="n">
        <v>84.98999999999999</v>
      </c>
      <c r="J94" s="61" t="inlineStr">
        <is>
          <t>2026-03-30</t>
        </is>
      </c>
      <c r="K94" s="33" t="n">
        <v>34.69999999999999</v>
      </c>
      <c r="L94" s="62" t="n">
        <v>0.4082833274502882</v>
      </c>
      <c r="M94" s="63" t="n">
        <v>0</v>
      </c>
      <c r="N94" s="32" t="inlineStr">
        <is>
          <t>Active</t>
        </is>
      </c>
      <c r="O94" s="32" t="n"/>
      <c r="P94" s="64" t="n">
        <v>4.5</v>
      </c>
      <c r="Q94" s="63" t="n">
        <v>5972</v>
      </c>
      <c r="R94" s="63" t="n">
        <v>19668</v>
      </c>
      <c r="S94" s="63"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59" t="n">
        <v>84.98999999999999</v>
      </c>
      <c r="H95" s="32" t="inlineStr">
        <is>
          <t>Helium 10 Xray, 2026-10-13</t>
        </is>
      </c>
      <c r="I95" s="60" t="n">
        <v>84.98999999999999</v>
      </c>
      <c r="J95" s="61" t="inlineStr">
        <is>
          <t>2026-03-30</t>
        </is>
      </c>
      <c r="K95" s="33" t="n">
        <v>35.05</v>
      </c>
      <c r="L95" s="62" t="n">
        <v>0.4124014589951759</v>
      </c>
      <c r="M95" s="63" t="n">
        <v>0</v>
      </c>
      <c r="N95" s="32" t="inlineStr">
        <is>
          <t>Active</t>
        </is>
      </c>
      <c r="O95" s="32" t="n"/>
      <c r="P95" s="64" t="n">
        <v>4.5</v>
      </c>
      <c r="Q95" s="63" t="n">
        <v>5972</v>
      </c>
      <c r="R95" s="63" t="n">
        <v>19665</v>
      </c>
      <c r="S95" s="63"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0" t="n">
        <v>79.98999999999999</v>
      </c>
      <c r="J96" s="61" t="inlineStr">
        <is>
          <t>2026-03-30</t>
        </is>
      </c>
      <c r="K96" s="33" t="n">
        <v>31.31</v>
      </c>
      <c r="L96" s="62" t="n">
        <v>0.3914239279909989</v>
      </c>
      <c r="M96" s="63" t="n">
        <v>0</v>
      </c>
      <c r="N96" s="32" t="inlineStr">
        <is>
          <t>Inactive</t>
        </is>
      </c>
      <c r="O96" s="32" t="n"/>
      <c r="P96" s="64" t="n"/>
      <c r="Q96" s="63" t="n"/>
      <c r="R96" s="63" t="n"/>
      <c r="S96" s="63"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59" t="n">
        <v>79.98999999999999</v>
      </c>
      <c r="H97" s="32" t="inlineStr">
        <is>
          <t>Helium 10 Xray, 2026-10-13</t>
        </is>
      </c>
      <c r="I97" s="60" t="n">
        <v>79.98999999999999</v>
      </c>
      <c r="J97" s="61" t="inlineStr">
        <is>
          <t>2026-03-30</t>
        </is>
      </c>
      <c r="K97" s="33" t="n">
        <v>34.61999999999999</v>
      </c>
      <c r="L97" s="62" t="n">
        <v>0.432804100512564</v>
      </c>
      <c r="M97" s="63" t="n"/>
      <c r="N97" s="32" t="inlineStr">
        <is>
          <t>Active</t>
        </is>
      </c>
      <c r="O97" s="32" t="n"/>
      <c r="P97" s="64" t="n">
        <v>4.5</v>
      </c>
      <c r="Q97" s="63" t="n">
        <v>5972</v>
      </c>
      <c r="R97" s="63" t="n">
        <v>19665</v>
      </c>
      <c r="S97" s="63"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59" t="n">
        <v>64.98999999999999</v>
      </c>
      <c r="H98" s="32" t="inlineStr">
        <is>
          <t>Helium 10 Xray, 2026-10-13</t>
        </is>
      </c>
      <c r="I98" s="60" t="n">
        <v>85.98999999999999</v>
      </c>
      <c r="J98" s="61" t="inlineStr">
        <is>
          <t>2026-03-30</t>
        </is>
      </c>
      <c r="K98" s="33" t="n">
        <v>45.69</v>
      </c>
      <c r="L98" s="62" t="n">
        <v>0.5313408535876265</v>
      </c>
      <c r="M98" s="63" t="n">
        <v>0</v>
      </c>
      <c r="N98" s="32" t="n"/>
      <c r="O98" s="32" t="n"/>
      <c r="P98" s="64" t="n">
        <v>4.5</v>
      </c>
      <c r="Q98" s="63" t="n">
        <v>5972</v>
      </c>
      <c r="R98" s="63" t="n">
        <v>19665</v>
      </c>
      <c r="S98" s="63" t="n">
        <v>17</v>
      </c>
      <c r="T98" s="32" t="n"/>
    </row>
    <row r="100" ht="20" customHeight="1">
      <c r="A100" s="53" t="inlineStr">
        <is>
          <t>3 · OUR BFCM 2025 RESULT &amp; EVENT VISIBILITY</t>
        </is>
      </c>
    </row>
    <row r="101">
      <c r="A101" s="66" t="inlineStr">
        <is>
          <t>Window</t>
        </is>
      </c>
      <c r="B101" s="67" t="n"/>
      <c r="C101" s="68" t="n"/>
      <c r="D101" s="66" t="inlineStr">
        <is>
          <t>Ad spend</t>
        </is>
      </c>
      <c r="E101" s="66" t="inlineStr">
        <is>
          <t>Ad sales</t>
        </is>
      </c>
      <c r="F101" s="66" t="inlineStr">
        <is>
          <t>ACoS</t>
        </is>
      </c>
      <c r="G101" s="66" t="inlineStr">
        <is>
          <t>TACoS</t>
        </is>
      </c>
      <c r="H101" s="66" t="inlineStr">
        <is>
          <t>Total sales (derived)</t>
        </is>
      </c>
      <c r="J101" s="66" t="inlineStr">
        <is>
          <t>Ad orders</t>
        </is>
      </c>
      <c r="K101" s="66" t="inlineStr">
        <is>
          <t>CVR</t>
        </is>
      </c>
    </row>
    <row r="102">
      <c r="A102" s="69" t="inlineStr">
        <is>
          <t>Pre-event Oct 21 - Nov 19, 2025 (30d)</t>
        </is>
      </c>
      <c r="B102" s="67" t="n"/>
      <c r="C102" s="68" t="n"/>
      <c r="D102" s="70" t="n">
        <v>22152.31</v>
      </c>
      <c r="E102" s="70" t="n">
        <v>84907.59999999998</v>
      </c>
      <c r="F102" s="71" t="n">
        <v>26.1</v>
      </c>
      <c r="G102" s="71" t="n">
        <v>11.17366872432405</v>
      </c>
      <c r="H102" s="70" t="n">
        <v>198254.58</v>
      </c>
      <c r="J102" s="72" t="n">
        <v>1140</v>
      </c>
      <c r="K102" s="73" t="n">
        <v>13.45</v>
      </c>
    </row>
    <row r="103">
      <c r="A103" s="69" t="inlineStr">
        <is>
          <t>BFCM week Nov 20 - Dec 1, 2025 (12d)</t>
        </is>
      </c>
      <c r="B103" s="67" t="n"/>
      <c r="C103" s="68" t="n"/>
      <c r="D103" s="70" t="n">
        <v>21098.97</v>
      </c>
      <c r="E103" s="70" t="n">
        <v>106756.38</v>
      </c>
      <c r="F103" s="71" t="n">
        <v>19.8</v>
      </c>
      <c r="G103" s="71" t="n">
        <v>6.252858933328141</v>
      </c>
      <c r="H103" s="70" t="n">
        <v>337429.17</v>
      </c>
      <c r="J103" s="72" t="n">
        <v>1543</v>
      </c>
      <c r="K103" s="73" t="n">
        <v>19.31</v>
      </c>
    </row>
    <row r="104">
      <c r="A104" s="69" t="inlineStr">
        <is>
          <t>December 2 - 31, 2025 (30d)</t>
        </is>
      </c>
      <c r="B104" s="67" t="n"/>
      <c r="C104" s="68" t="n"/>
      <c r="D104" s="70" t="n">
        <v>34665.39000000001</v>
      </c>
      <c r="E104" s="70" t="n">
        <v>149699.96</v>
      </c>
      <c r="F104" s="71" t="n">
        <v>23.2</v>
      </c>
      <c r="G104" s="71" t="n">
        <v>9.39173429935213</v>
      </c>
      <c r="H104" s="70" t="n">
        <v>369105.31</v>
      </c>
      <c r="J104" s="72" t="n">
        <v>1916</v>
      </c>
      <c r="K104" s="73" t="n">
        <v>16.43</v>
      </c>
    </row>
    <row r="106">
      <c r="A106" s="66" t="inlineStr">
        <is>
          <t>Actual sales (SellerBoard)</t>
        </is>
      </c>
      <c r="B106" s="67" t="n"/>
      <c r="C106" s="68" t="n"/>
      <c r="D106" s="66" t="inlineStr">
        <is>
          <t>Sales</t>
        </is>
      </c>
      <c r="E106" s="66" t="inlineStr">
        <is>
          <t>Units</t>
        </is>
      </c>
      <c r="F106" s="66" t="inlineStr">
        <is>
          <t>Organic units</t>
        </is>
      </c>
      <c r="G106" s="66" t="inlineStr">
        <is>
          <t>Ad units</t>
        </is>
      </c>
      <c r="H106" s="66" t="inlineStr">
        <is>
          <t>Ad cost</t>
        </is>
      </c>
      <c r="J106" s="66" t="inlineStr">
        <is>
          <t>TACoS (actual)</t>
        </is>
      </c>
      <c r="K106" s="66" t="inlineStr">
        <is>
          <t>Sessions</t>
        </is>
      </c>
      <c r="L106" s="66" t="inlineStr">
        <is>
          <t>Unit session %</t>
        </is>
      </c>
      <c r="M106" s="66" t="inlineStr">
        <is>
          <t>Avg price</t>
        </is>
      </c>
      <c r="N106" s="66" t="inlineStr">
        <is>
          <t>Refunds</t>
        </is>
      </c>
    </row>
    <row r="107">
      <c r="A107" s="69" t="inlineStr">
        <is>
          <t>Pre-event Oct 21 - Nov 19, 2025 (30d)</t>
        </is>
      </c>
      <c r="B107" s="67" t="n"/>
      <c r="C107" s="68" t="n"/>
      <c r="D107" s="70" t="n">
        <v>198254.58</v>
      </c>
      <c r="E107" s="72" t="n">
        <v>2758</v>
      </c>
      <c r="F107" s="72" t="n">
        <v>2569</v>
      </c>
      <c r="G107" s="72" t="n">
        <v>189</v>
      </c>
      <c r="H107" s="70" t="n">
        <v>25868.92</v>
      </c>
      <c r="J107" s="74" t="n">
        <v>0.1304833411666959</v>
      </c>
      <c r="K107" s="72" t="n">
        <v>52332</v>
      </c>
      <c r="L107" s="74" t="n">
        <v>0.05270197966827181</v>
      </c>
      <c r="M107" s="75" t="n">
        <v>71.88345902828137</v>
      </c>
      <c r="N107" s="72" t="n">
        <v>236</v>
      </c>
    </row>
    <row r="108">
      <c r="A108" s="69" t="inlineStr">
        <is>
          <t>BFCM week Nov 20 - Dec 1, 2025 (12d)</t>
        </is>
      </c>
      <c r="B108" s="67" t="n"/>
      <c r="C108" s="68" t="n"/>
      <c r="D108" s="70" t="n">
        <v>337429.17</v>
      </c>
      <c r="E108" s="72" t="n">
        <v>5141</v>
      </c>
      <c r="F108" s="72" t="n">
        <v>4878</v>
      </c>
      <c r="G108" s="72" t="n">
        <v>263</v>
      </c>
      <c r="H108" s="70" t="n">
        <v>23068.34</v>
      </c>
      <c r="J108" s="74" t="n">
        <v>0.06836498456846514</v>
      </c>
      <c r="K108" s="72" t="n">
        <v>84261</v>
      </c>
      <c r="L108" s="74" t="n">
        <v>0.06101280544973356</v>
      </c>
      <c r="M108" s="75" t="n">
        <v>65.63492900213966</v>
      </c>
      <c r="N108" s="72" t="n">
        <v>82</v>
      </c>
    </row>
    <row r="109">
      <c r="A109" s="69" t="inlineStr">
        <is>
          <t>December 2 - 31, 2025 (30d)</t>
        </is>
      </c>
      <c r="B109" s="67" t="n"/>
      <c r="C109" s="68" t="n"/>
      <c r="D109" s="70" t="n">
        <v>369105.31</v>
      </c>
      <c r="E109" s="72" t="n">
        <v>4855</v>
      </c>
      <c r="F109" s="72" t="n">
        <v>4550</v>
      </c>
      <c r="G109" s="72" t="n">
        <v>305</v>
      </c>
      <c r="H109" s="70" t="n">
        <v>36215.06</v>
      </c>
      <c r="J109" s="74" t="n">
        <v>0.09811579248209677</v>
      </c>
      <c r="K109" s="72" t="n">
        <v>69986</v>
      </c>
      <c r="L109" s="74" t="n">
        <v>0.06937101706055497</v>
      </c>
      <c r="M109" s="75" t="n">
        <v>76.02581050463439</v>
      </c>
      <c r="N109" s="72" t="n">
        <v>410</v>
      </c>
    </row>
    <row r="110">
      <c r="A110" s="58" t="inlineStr">
        <is>
          <t>SellerBoard, Ecotero account, Amazon parent B0HJCSXJQ6 plus any of this product's child ASINs SellerBoard lists on their own, UTC days. Lift above uses these actual sales (4.25x; the ad-spend estimate was 4.25x).</t>
        </is>
      </c>
    </row>
    <row r="111" ht="30" customHeight="1">
      <c r="A111" s="76"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7" t="inlineStr">
        <is>
          <t>BFCM 2026 plan (BM, Oct 15, 2026): Best Deal 11/19-11/30. Deal price and depth not yet given; not yet visible in Amazon's deal feed.</t>
        </is>
      </c>
    </row>
    <row r="113" ht="30" customHeight="1">
      <c r="A113" s="78" t="inlineStr">
        <is>
          <t>Amazon deal price now (Slack):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 [Umair Tahir, #4pc-bamboo-sheets, 2026-10-15]</t>
        </is>
      </c>
    </row>
    <row r="114" ht="30" customHeight="1">
      <c r="A114" s="78" t="inlineStr">
        <is>
          <t>Pre-BFCM deal decision (Slack): Oct 16 Lightning Deal: cancel approved (Erik Fisher, Joseph Fisher) to keep the BFCM price clean; running it would have pushed the BFCM deal to about $64.59 or lower on King White. 9-day STR test on Cal King Taupe and Full Creme runs to Oct 19. B4 BFCM Best Deal confirmed Nov 19-30. [Umair Tahir, #4pc-bamboo-sheets, 2026-10-15]</t>
        </is>
      </c>
    </row>
    <row r="115" ht="18" customHeight="1">
      <c r="A115" s="79" t="inlineStr">
        <is>
          <t>ASSUMED 2026 deal prices, until BM's final: B08KQHRDDG today $94.99; $80.74 at 15% off (Nov 19-26) and $75.99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6" ht="30" customHeight="1">
      <c r="A116" s="76"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7" ht="40" customHeight="1">
      <c r="A117" s="76"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8">
      <c r="A118" s="58" t="inlineStr">
        <is>
          <t>Command Center visibility for our best child B08KQHRDDG: organic score 92.0 before BFCM 2025 → 127.0 in BFCM week; Prime Day 2026 143.7 → 130.5; Aug-Sep 2026 164.1.</t>
        </is>
      </c>
    </row>
    <row r="120" ht="20" customHeight="1">
      <c r="A120" s="53" t="inlineStr">
        <is>
          <t>4 · COMPETITOR LANDSCAPE (61 mapped)</t>
        </is>
      </c>
    </row>
    <row r="121">
      <c r="A121" s="58"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6" t="inlineStr">
        <is>
          <t>Bedsure</t>
        </is>
      </c>
      <c r="C124" s="32" t="inlineStr">
        <is>
          <t>Bedsure PureWoven 100% Rayon Derived from Bamboo, Queen Sheets, 4 Pieces</t>
        </is>
      </c>
      <c r="D124" s="86" t="inlineStr">
        <is>
          <t>Aspirational</t>
        </is>
      </c>
      <c r="E124" s="87" t="inlineStr">
        <is>
          <t>B0BZ8T5BJ6</t>
        </is>
      </c>
      <c r="F124" s="87" t="inlineStr">
        <is>
          <t>B07YK8VTJV</t>
        </is>
      </c>
      <c r="G124" s="86" t="inlineStr">
        <is>
          <t>Queen</t>
        </is>
      </c>
      <c r="H124" s="86" t="inlineStr">
        <is>
          <t>02 - White</t>
        </is>
      </c>
      <c r="I124" s="88" t="n">
        <v>131</v>
      </c>
      <c r="J124" s="32" t="inlineStr">
        <is>
          <t>B07YKCZHGK (29%), B07YK8VTJV (19%), B07YKCQBBL (14%), B07YKCB6GL (9%), B08CXWHQT2 (6%)</t>
        </is>
      </c>
      <c r="K124" s="89" t="n">
        <v>62.99</v>
      </c>
      <c r="L124" s="89" t="n">
        <v>69.98999999999999</v>
      </c>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15 children</t>
        </is>
      </c>
      <c r="R124" s="88" t="n">
        <v>256</v>
      </c>
      <c r="S124" s="88" t="n">
        <v>809</v>
      </c>
      <c r="T124" s="93">
        <f>IF(AND(ISNUMBER(K124),ISNUMBER(S124)),K124*S124*52/12,"")</f>
        <v/>
      </c>
      <c r="U124" s="94" t="n">
        <v>4.4</v>
      </c>
      <c r="V124" s="88" t="n">
        <v>65061</v>
      </c>
      <c r="W124" s="95" t="n">
        <v>46307</v>
      </c>
      <c r="X124" s="95" t="n">
        <v>43348</v>
      </c>
      <c r="Y124" s="86" t="inlineStr">
        <is>
          <t>FBA</t>
        </is>
      </c>
      <c r="Z124" s="86" t="inlineStr">
        <is>
          <t>US</t>
        </is>
      </c>
      <c r="AA124" s="88" t="n">
        <v>2166046</v>
      </c>
      <c r="AB124" s="88" t="n">
        <v>6935</v>
      </c>
      <c r="AC124" s="96" t="n">
        <v>0.5902383405984899</v>
      </c>
      <c r="AD124" s="96" t="n">
        <v>0.4097618027040986</v>
      </c>
      <c r="AE124" s="32" t="inlineStr">
        <is>
          <t>bamboo sheets</t>
        </is>
      </c>
      <c r="AF124" s="96" t="n">
        <v>0.9388327856379781</v>
      </c>
      <c r="AG124" s="96" t="n">
        <v>0.9371818511702891</v>
      </c>
      <c r="AH124" s="96" t="n">
        <v>0.6488394059959945</v>
      </c>
      <c r="AI124" s="96" t="n">
        <v>0.3206907886536112</v>
      </c>
      <c r="AJ124" s="88" t="n">
        <v>1620</v>
      </c>
      <c r="AK124" s="88" t="n">
        <v>122</v>
      </c>
      <c r="AL124" s="88" t="n">
        <v>1398</v>
      </c>
      <c r="AM124" s="88" t="n">
        <v>5315</v>
      </c>
      <c r="AN124" s="88" t="n">
        <v>2984</v>
      </c>
      <c r="AO124" s="88" t="n">
        <v>140</v>
      </c>
      <c r="AP124" s="97" t="n">
        <v>1.066623404715553</v>
      </c>
      <c r="AQ124" s="92" t="n">
        <v>-0.05727665706051865</v>
      </c>
      <c r="AR124" s="98" t="inlineStr">
        <is>
          <t>Y</t>
        </is>
      </c>
      <c r="AS124" s="98" t="inlineStr">
        <is>
          <t>List Price</t>
        </is>
      </c>
      <c r="AT124" s="99" t="n">
        <v>69.98999999999999</v>
      </c>
      <c r="AU124" s="99" t="n">
        <v>62.99</v>
      </c>
      <c r="AV124" s="98" t="inlineStr">
        <is>
          <t>none</t>
        </is>
      </c>
      <c r="AW124" s="98" t="inlineStr">
        <is>
          <t>Y</t>
        </is>
      </c>
      <c r="AX124" s="98" t="inlineStr">
        <is>
          <t>2026-10-13 12:10:35</t>
        </is>
      </c>
      <c r="AY124" s="100" t="inlineStr">
        <is>
          <t>Prime Exclusive Discount</t>
        </is>
      </c>
      <c r="AZ124" s="100" t="inlineStr">
        <is>
          <t>11-23 to 12-01</t>
        </is>
      </c>
      <c r="BA124" s="101" t="n">
        <v>66.48999999999999</v>
      </c>
      <c r="BB124" s="101" t="n">
        <v>55.99</v>
      </c>
      <c r="BC124" s="90">
        <f>IF(AND(ISNUMBER(BA124),ISNUMBER(BB124),N(BA124)&gt;0),1-BB124/BA124,"")</f>
        <v/>
      </c>
      <c r="BD124" s="102" t="n">
        <v>156</v>
      </c>
      <c r="BE124" s="102" t="n">
        <v>228</v>
      </c>
      <c r="BF124" s="103">
        <f>IF(AND(ISNUMBER(BD124),ISNUMBER(BE124),N(BE124)&gt;0),BD124/BE124,"")</f>
        <v/>
      </c>
      <c r="BG124" s="100" t="inlineStr">
        <is>
          <t>N</t>
        </is>
      </c>
      <c r="BH124" s="100" t="inlineStr">
        <is>
          <t>Buy Box RAISED in BFCM week (median $69.99 vs $66.49 before); List Price $78.99</t>
        </is>
      </c>
    </row>
    <row r="125" ht="62" customHeight="1">
      <c r="A125" s="10">
        <f>_xlfn.IMAGE("https://images-na.ssl-images-amazon.com/images/I/91dfner9BkL.jpg")</f>
        <v/>
      </c>
      <c r="B125" s="86" t="inlineStr">
        <is>
          <t>Pure Bamboo</t>
        </is>
      </c>
      <c r="C125" s="32" t="inlineStr">
        <is>
          <t>Pure Bamboo King Sheets, Genuine 100% Organic Viscose Derived from Bamboo Bed Sheet Set, Luxuriously Soft &amp; Cooling, Double Stitching, 2 Year Quality Promise (King, Ivory)</t>
        </is>
      </c>
      <c r="D125" s="86" t="inlineStr">
        <is>
          <t>Aspirational</t>
        </is>
      </c>
      <c r="E125" s="87" t="inlineStr">
        <is>
          <t>B0CZQ52MTQ</t>
        </is>
      </c>
      <c r="F125" s="87" t="inlineStr">
        <is>
          <t>B07DZTQ4JC</t>
        </is>
      </c>
      <c r="G125" s="86" t="inlineStr">
        <is>
          <t>King</t>
        </is>
      </c>
      <c r="H125" s="86" t="inlineStr">
        <is>
          <t>Ivory</t>
        </is>
      </c>
      <c r="I125" s="88" t="n">
        <v>181</v>
      </c>
      <c r="J125" s="32" t="inlineStr">
        <is>
          <t>B07MZ4GKZH (30%), B079RXWGSD (12%), B07DZTQ4JC (11%), B074CHDX7V (10%), B07DZMB498 (5%)</t>
        </is>
      </c>
      <c r="K125" s="89" t="n">
        <v>109.99</v>
      </c>
      <c r="L125" s="89" t="n"/>
      <c r="M125" s="90">
        <f>IF(AND(ISNUMBER(L125),ISNUMBER(K125),N(K125)&gt;0),L125/K125-1,"")</f>
        <v/>
      </c>
      <c r="N125" s="91">
        <f>IF(M125="","No List Price",IF(M125&lt;=0,"At/below price",IF(M125&lt;=0.12,"&lt;=12% STR zone",IF(M125&lt;=0.25,"12-25%","&gt;25% over"))))</f>
        <v/>
      </c>
      <c r="O125" s="89" t="n">
        <v>94.98999999999999</v>
      </c>
      <c r="P125" s="92">
        <f>IF(AND(ISNUMBER(K125),ISNUMBER(O125),N(O125)&gt;0),K125/O125-1,"")</f>
        <v/>
      </c>
      <c r="Q125" s="32" t="inlineStr">
        <is>
          <t>Same size (King). Ours live: Helium 10 Xray, 2026-10-13; 15 children</t>
        </is>
      </c>
      <c r="R125" s="88" t="n">
        <v>304</v>
      </c>
      <c r="S125" s="88" t="n">
        <v>809</v>
      </c>
      <c r="T125" s="93">
        <f>IF(AND(ISNUMBER(K125),ISNUMBER(S125)),K125*S125*52/12,"")</f>
        <v/>
      </c>
      <c r="U125" s="94" t="n">
        <v>4.5</v>
      </c>
      <c r="V125" s="88" t="n">
        <v>21927</v>
      </c>
      <c r="W125" s="95" t="n">
        <v>46307</v>
      </c>
      <c r="X125" s="95" t="n">
        <v>43281</v>
      </c>
      <c r="Y125" s="86" t="inlineStr">
        <is>
          <t>FBA</t>
        </is>
      </c>
      <c r="Z125" s="86" t="inlineStr">
        <is>
          <t>US</t>
        </is>
      </c>
      <c r="AA125" s="88" t="n">
        <v>2565055</v>
      </c>
      <c r="AB125" s="88" t="n">
        <v>8283</v>
      </c>
      <c r="AC125" s="96" t="n">
        <v>0.4648594811807159</v>
      </c>
      <c r="AD125" s="96" t="n">
        <v>0.5351407059497737</v>
      </c>
      <c r="AE125" s="32" t="inlineStr">
        <is>
          <t>bamboo sheets</t>
        </is>
      </c>
      <c r="AF125" s="96" t="n">
        <v>0.8806310196077667</v>
      </c>
      <c r="AG125" s="96" t="n">
        <v>0.8210506207469236</v>
      </c>
      <c r="AH125" s="96" t="n">
        <v>0.8831019217911507</v>
      </c>
      <c r="AI125" s="96" t="n">
        <v>0.2663467255088098</v>
      </c>
      <c r="AJ125" s="88" t="n">
        <v>1568</v>
      </c>
      <c r="AK125" s="88" t="n">
        <v>118</v>
      </c>
      <c r="AL125" s="88" t="n">
        <v>1357</v>
      </c>
      <c r="AM125" s="88" t="n">
        <v>6715</v>
      </c>
      <c r="AN125" s="88" t="n">
        <v>3363</v>
      </c>
      <c r="AO125" s="88" t="n">
        <v>139</v>
      </c>
      <c r="AP125" s="97" t="n">
        <v>1.180104147961932</v>
      </c>
      <c r="AQ125" s="92" t="n">
        <v>1.570823710546574</v>
      </c>
      <c r="AR125" s="98" t="inlineStr">
        <is>
          <t>N</t>
        </is>
      </c>
      <c r="AS125" s="98" t="inlineStr">
        <is>
          <t>none</t>
        </is>
      </c>
      <c r="AT125" s="104" t="n"/>
      <c r="AU125" s="99" t="n">
        <v>109.99</v>
      </c>
      <c r="AV125" s="98" t="inlineStr">
        <is>
          <t>none</t>
        </is>
      </c>
      <c r="AW125" s="98" t="inlineStr">
        <is>
          <t>Y</t>
        </is>
      </c>
      <c r="AX125" s="98" t="inlineStr">
        <is>
          <t>2026-10-13 12:11:16</t>
        </is>
      </c>
      <c r="AY125" s="100" t="inlineStr">
        <is>
          <t>None</t>
        </is>
      </c>
      <c r="AZ125" s="105" t="n"/>
      <c r="BA125" s="101" t="n">
        <v>109.99</v>
      </c>
      <c r="BB125" s="101" t="n">
        <v>109.99</v>
      </c>
      <c r="BC125" s="90">
        <f>IF(AND(ISNUMBER(BA125),ISNUMBER(BB125),N(BA125)&gt;0),1-BB125/BA125,"")</f>
        <v/>
      </c>
      <c r="BD125" s="102" t="n">
        <v>287</v>
      </c>
      <c r="BE125" s="102" t="n">
        <v>598</v>
      </c>
      <c r="BF125" s="103">
        <f>IF(AND(ISNUMBER(BD125),ISNUMBER(BE125),N(BE125)&gt;0),BD125/BE125,"")</f>
        <v/>
      </c>
      <c r="BG125" s="100" t="inlineStr">
        <is>
          <t>N</t>
        </is>
      </c>
      <c r="BH125" s="100" t="inlineStr">
        <is>
          <t>List Price $139.99/$149.99</t>
        </is>
      </c>
    </row>
    <row r="126" ht="62" customHeight="1">
      <c r="A126" s="10">
        <f>_xlfn.IMAGE("https://images-na.ssl-images-amazon.com/images/I/71oEhkRYQ+L.jpg")</f>
        <v/>
      </c>
      <c r="B126" s="86"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6" t="inlineStr">
        <is>
          <t>Aspirational</t>
        </is>
      </c>
      <c r="E126" s="87" t="inlineStr">
        <is>
          <t>B0G5N99X9R</t>
        </is>
      </c>
      <c r="F126" s="87" t="inlineStr">
        <is>
          <t>B01N9L2O9P</t>
        </is>
      </c>
      <c r="G126" s="86" t="inlineStr">
        <is>
          <t>Queen</t>
        </is>
      </c>
      <c r="H126" s="86" t="inlineStr">
        <is>
          <t>White</t>
        </is>
      </c>
      <c r="I126" s="88" t="n">
        <v>61</v>
      </c>
      <c r="J126" s="32" t="inlineStr">
        <is>
          <t>B01N9L2O9P (30%), B01N0UB2GO (20%), B072WD91XH (10%), B072WV76WK (6%), B07RJBYJ9L (5%)</t>
        </is>
      </c>
      <c r="K126" s="89" t="n">
        <v>79.98999999999999</v>
      </c>
      <c r="L126" s="89" t="n"/>
      <c r="M126" s="90">
        <f>IF(AND(ISNUMBER(L126),ISNUMBER(K126),N(K126)&gt;0),L126/K126-1,"")</f>
        <v/>
      </c>
      <c r="N126" s="91">
        <f>IF(M126="","No List Price",IF(M126&lt;=0,"At/below price",IF(M126&lt;=0.12,"&lt;=12% STR zone",IF(M126&lt;=0.25,"12-25%","&gt;25% over"))))</f>
        <v/>
      </c>
      <c r="O126" s="89" t="n">
        <v>89.98999999999999</v>
      </c>
      <c r="P126" s="92">
        <f>IF(AND(ISNUMBER(K126),ISNUMBER(O126),N(O126)&gt;0),K126/O126-1,"")</f>
        <v/>
      </c>
      <c r="Q126" s="32" t="inlineStr">
        <is>
          <t>Same size (Queen). Ours live: Helium 10 Xray, 2026-10-13; 15 children</t>
        </is>
      </c>
      <c r="R126" s="88" t="n">
        <v>2984</v>
      </c>
      <c r="S126" s="88" t="n">
        <v>347</v>
      </c>
      <c r="T126" s="93">
        <f>IF(AND(ISNUMBER(K126),ISNUMBER(S126)),K126*S126*52/12,"")</f>
        <v/>
      </c>
      <c r="U126" s="94" t="n">
        <v>4.4</v>
      </c>
      <c r="V126" s="88" t="n">
        <v>37179</v>
      </c>
      <c r="W126" s="95" t="n">
        <v>46307</v>
      </c>
      <c r="X126" s="95" t="n">
        <v>42729</v>
      </c>
      <c r="Y126" s="86" t="inlineStr">
        <is>
          <t>FBA</t>
        </is>
      </c>
      <c r="Z126" s="86" t="inlineStr">
        <is>
          <t>US</t>
        </is>
      </c>
      <c r="AA126" s="88" t="n">
        <v>451969</v>
      </c>
      <c r="AB126" s="88" t="n">
        <v>4094</v>
      </c>
      <c r="AC126" s="96" t="n">
        <v>0.6071584272372669</v>
      </c>
      <c r="AD126" s="96" t="n">
        <v>0.3928415727627336</v>
      </c>
      <c r="AE126" s="32" t="inlineStr">
        <is>
          <t>hotel</t>
        </is>
      </c>
      <c r="AF126" s="96" t="n">
        <v>0.9036371963563873</v>
      </c>
      <c r="AG126" s="96" t="n">
        <v>0.4767871247806819</v>
      </c>
      <c r="AH126" s="96" t="n">
        <v>0.1264024745059949</v>
      </c>
      <c r="AI126" s="96" t="n">
        <v>0.3227168234989568</v>
      </c>
      <c r="AJ126" s="88" t="n">
        <v>1379</v>
      </c>
      <c r="AK126" s="88" t="n">
        <v>393</v>
      </c>
      <c r="AL126" s="88" t="n">
        <v>807</v>
      </c>
      <c r="AM126" s="88" t="n">
        <v>2715</v>
      </c>
      <c r="AN126" s="88" t="n">
        <v>706</v>
      </c>
      <c r="AO126" s="88" t="n">
        <v>73</v>
      </c>
      <c r="AP126" s="97" t="n">
        <v>1.799620493358634</v>
      </c>
      <c r="AQ126" s="92" t="n">
        <v>0.004829621679635077</v>
      </c>
      <c r="AR126" s="98" t="inlineStr">
        <is>
          <t>N</t>
        </is>
      </c>
      <c r="AS126" s="98" t="inlineStr">
        <is>
          <t>none</t>
        </is>
      </c>
      <c r="AT126" s="104" t="n"/>
      <c r="AU126" s="99" t="n">
        <v>79.98999999999999</v>
      </c>
      <c r="AV126" s="98" t="inlineStr">
        <is>
          <t>none</t>
        </is>
      </c>
      <c r="AW126" s="98" t="inlineStr">
        <is>
          <t>Y</t>
        </is>
      </c>
      <c r="AX126" s="98" t="inlineStr">
        <is>
          <t>2026-10-13 12:10:54</t>
        </is>
      </c>
      <c r="AY126" s="100" t="inlineStr">
        <is>
          <t>Price cut only</t>
        </is>
      </c>
      <c r="AZ126" s="100" t="inlineStr">
        <is>
          <t>11-20 to 12-01</t>
        </is>
      </c>
      <c r="BA126" s="101" t="n">
        <v>72.98999999999999</v>
      </c>
      <c r="BB126" s="101" t="n">
        <v>57.99</v>
      </c>
      <c r="BC126" s="90">
        <f>IF(AND(ISNUMBER(BA126),ISNUMBER(BB126),N(BA126)&gt;0),1-BB126/BA126,"")</f>
        <v/>
      </c>
      <c r="BD126" s="102" t="n">
        <v>3871</v>
      </c>
      <c r="BE126" s="102" t="n">
        <v>1703</v>
      </c>
      <c r="BF126" s="103">
        <f>IF(AND(ISNUMBER(BD126),ISNUMBER(BE126),N(BE126)&gt;0),BD126/BE126,"")</f>
        <v/>
      </c>
      <c r="BG126" s="100" t="inlineStr">
        <is>
          <t>N</t>
        </is>
      </c>
      <c r="BH126" s="100" t="inlineStr">
        <is>
          <t>Lightning Deal 11-07 to 11-11; Coupon 20% (11-12 to 12-02); List Price $72.99</t>
        </is>
      </c>
    </row>
    <row r="127" ht="62" customHeight="1">
      <c r="A127" s="10">
        <f>_xlfn.IMAGE("https://images-na.ssl-images-amazon.com/images/I/71AudKmD2JL.jpg")</f>
        <v/>
      </c>
      <c r="B127" s="86" t="inlineStr">
        <is>
          <t>Love's cabin</t>
        </is>
      </c>
      <c r="C127" s="32" t="inlineStr">
        <is>
          <t>Love's cabin 4 Piece Queen Sheet Set, 100% Rayon Derived from Bamboo, Cooling &amp; Breathable, Soft Silky Deep Pocket up to 16", Hotel Luxury Bedding for Hot Sleepers, Beige</t>
        </is>
      </c>
      <c r="D127" s="86" t="inlineStr">
        <is>
          <t>Beatable</t>
        </is>
      </c>
      <c r="E127" s="87" t="inlineStr">
        <is>
          <t>B0DN1GGFL7</t>
        </is>
      </c>
      <c r="F127" s="87" t="inlineStr">
        <is>
          <t>B0DN1DVKH5</t>
        </is>
      </c>
      <c r="G127" s="86" t="inlineStr">
        <is>
          <t>Queen</t>
        </is>
      </c>
      <c r="H127" s="86" t="inlineStr">
        <is>
          <t>Beige</t>
        </is>
      </c>
      <c r="I127" s="88" t="n">
        <v>176</v>
      </c>
      <c r="J127" s="32" t="inlineStr">
        <is>
          <t>B0DN1DVKH5 (43%), B0DN1H6C88 (10%), B0DN1D4YKB (9%), B0DN1H5PQ6 (8%), B0DN1DRRDN (7%)</t>
        </is>
      </c>
      <c r="K127" s="89" t="n">
        <v>37.99</v>
      </c>
      <c r="L127" s="89" t="n">
        <v>44.99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15 children</t>
        </is>
      </c>
      <c r="R127" s="88" t="n">
        <v>501</v>
      </c>
      <c r="S127" s="88" t="n">
        <v>924</v>
      </c>
      <c r="T127" s="93">
        <f>IF(AND(ISNUMBER(K127),ISNUMBER(S127)),K127*S127*52/12,"")</f>
        <v/>
      </c>
      <c r="U127" s="94" t="n">
        <v>4.4</v>
      </c>
      <c r="V127" s="88" t="n">
        <v>1900</v>
      </c>
      <c r="W127" s="95" t="n">
        <v>46307</v>
      </c>
      <c r="X127" s="95" t="n">
        <v>45694</v>
      </c>
      <c r="Y127" s="86" t="inlineStr">
        <is>
          <t>FBA</t>
        </is>
      </c>
      <c r="Z127" s="86" t="inlineStr">
        <is>
          <t>CN</t>
        </is>
      </c>
      <c r="AA127" s="88" t="n">
        <v>906346</v>
      </c>
      <c r="AB127" s="88" t="n">
        <v>4326</v>
      </c>
      <c r="AC127" s="96" t="n">
        <v>0.9184238707954808</v>
      </c>
      <c r="AD127" s="96" t="n">
        <v>0.08157613626584115</v>
      </c>
      <c r="AE127" s="32" t="inlineStr">
        <is>
          <t>bamboo sheets</t>
        </is>
      </c>
      <c r="AF127" s="96" t="n">
        <v>0.888575665364</v>
      </c>
      <c r="AG127" s="96" t="n">
        <v>0.05086247415446198</v>
      </c>
      <c r="AH127" s="96" t="n"/>
      <c r="AI127" s="96" t="n">
        <v>0.4089034430559632</v>
      </c>
      <c r="AJ127" s="88" t="n">
        <v>1410</v>
      </c>
      <c r="AK127" s="88" t="n">
        <v>186</v>
      </c>
      <c r="AL127" s="88" t="n">
        <v>1128</v>
      </c>
      <c r="AM127" s="88" t="n">
        <v>2916</v>
      </c>
      <c r="AN127" s="88" t="n">
        <v>938</v>
      </c>
      <c r="AO127" s="88" t="n">
        <v>38</v>
      </c>
      <c r="AP127" s="97" t="n">
        <v>0.8953669259384511</v>
      </c>
      <c r="AQ127" s="92" t="n">
        <v>0.5388519228600428</v>
      </c>
      <c r="AR127" s="98" t="inlineStr">
        <is>
          <t>Y</t>
        </is>
      </c>
      <c r="AS127" s="98" t="inlineStr">
        <is>
          <t>List Price</t>
        </is>
      </c>
      <c r="AT127" s="99" t="n">
        <v>44.99</v>
      </c>
      <c r="AU127" s="99" t="n">
        <v>37.99</v>
      </c>
      <c r="AV127" s="98" t="inlineStr">
        <is>
          <t>none</t>
        </is>
      </c>
      <c r="AW127" s="98" t="inlineStr">
        <is>
          <t>Y</t>
        </is>
      </c>
      <c r="AX127" s="98" t="inlineStr">
        <is>
          <t>2026-10-13 12:11:04</t>
        </is>
      </c>
      <c r="AY127" s="100" t="inlineStr">
        <is>
          <t>Prime Exclusive Discount</t>
        </is>
      </c>
      <c r="AZ127" s="100" t="inlineStr">
        <is>
          <t>11-03 to 12-05</t>
        </is>
      </c>
      <c r="BA127" s="101" t="n">
        <v>36.99</v>
      </c>
      <c r="BB127" s="101" t="n">
        <v>29.99</v>
      </c>
      <c r="BC127" s="90">
        <f>IF(AND(ISNUMBER(BA127),ISNUMBER(BB127),N(BA127)&gt;0),1-BB127/BA127,"")</f>
        <v/>
      </c>
      <c r="BD127" s="102" t="n">
        <v>32899</v>
      </c>
      <c r="BE127" s="102" t="n">
        <v>33089</v>
      </c>
      <c r="BF127" s="103">
        <f>IF(AND(ISNUMBER(BD127),ISNUMBER(BE127),N(BE127)&gt;0),BD127/BE127,"")</f>
        <v/>
      </c>
      <c r="BG127" s="100" t="inlineStr">
        <is>
          <t>N</t>
        </is>
      </c>
      <c r="BH127" s="100" t="inlineStr">
        <is>
          <t>Prime Exclusive already running before BFCM week; List Price $49.99</t>
        </is>
      </c>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94.98999999999999</v>
      </c>
      <c r="P128" s="92">
        <f>IF(AND(ISNUMBER(K128),ISNUMBER(O128),N(O128)&gt;0),K128/O128-1,"")</f>
        <v/>
      </c>
      <c r="Q128" s="32" t="inlineStr">
        <is>
          <t>Same size (King). Ours live: Helium 10 Xray, 2026-10-13; 15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1231</v>
      </c>
      <c r="AK128" s="88" t="n">
        <v>272</v>
      </c>
      <c r="AL128" s="88" t="n">
        <v>705</v>
      </c>
      <c r="AM128" s="88" t="n">
        <v>1407</v>
      </c>
      <c r="AN128" s="88" t="n">
        <v>294</v>
      </c>
      <c r="AO128" s="88" t="n">
        <v>100</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_xlfn.IMAGE("https://m.media-amazon.com/images/I/81V9M033qOL._AC_SL1500_.jpg")</f>
        <v/>
      </c>
      <c r="B129" s="86" t="inlineStr">
        <is>
          <t>TRUE BAMBOO</t>
        </is>
      </c>
      <c r="C129" s="32" t="inlineStr">
        <is>
          <t>TRUE BAMBOO Sheets Set King Size - Silky Soft &amp; Cooling - Dark Gray</t>
        </is>
      </c>
      <c r="D129" s="86" t="inlineStr">
        <is>
          <t>Beatable</t>
        </is>
      </c>
      <c r="E129" s="87" t="inlineStr">
        <is>
          <t>B0HHQ97HBL</t>
        </is>
      </c>
      <c r="F129" s="87" t="inlineStr">
        <is>
          <t>B0HD7R5L1D</t>
        </is>
      </c>
      <c r="G129" s="86" t="inlineStr">
        <is>
          <t>Queen</t>
        </is>
      </c>
      <c r="H129" s="86" t="inlineStr">
        <is>
          <t>Dark Gray</t>
        </is>
      </c>
      <c r="I129" s="88" t="n">
        <v>30</v>
      </c>
      <c r="J129" s="32" t="inlineStr">
        <is>
          <t>B0HD7R5L1D (45%), B0H5WYMXJK (28%), B0H7BYKYCD (9%)</t>
        </is>
      </c>
      <c r="K129" s="89" t="n">
        <v>79.98999999999999</v>
      </c>
      <c r="L129" s="89" t="n">
        <v>129.99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15 children</t>
        </is>
      </c>
      <c r="R129" s="88" t="n">
        <v>5934</v>
      </c>
      <c r="S129" s="88" t="n">
        <v>185</v>
      </c>
      <c r="T129" s="93">
        <f>IF(AND(ISNUMBER(K129),ISNUMBER(S129)),K129*S129*52/12,"")</f>
        <v/>
      </c>
      <c r="U129" s="94" t="n">
        <v>4.6</v>
      </c>
      <c r="V129" s="88" t="n">
        <v>167</v>
      </c>
      <c r="W129" s="95" t="n">
        <v>46307</v>
      </c>
      <c r="X129" s="95" t="n"/>
      <c r="Y129" s="86" t="n"/>
      <c r="Z129" s="86" t="n"/>
      <c r="AA129" s="88" t="n">
        <v>557658</v>
      </c>
      <c r="AB129" s="88" t="n">
        <v>2189</v>
      </c>
      <c r="AC129" s="96" t="n">
        <v>0.518044597943542</v>
      </c>
      <c r="AD129" s="96" t="n">
        <v>0.4819554422244464</v>
      </c>
      <c r="AE129" s="32" t="inlineStr">
        <is>
          <t>king size sheets set</t>
        </is>
      </c>
      <c r="AF129" s="96" t="n">
        <v>0.9807695756180311</v>
      </c>
      <c r="AG129" s="96" t="n">
        <v>0.2157666526795993</v>
      </c>
      <c r="AH129" s="96" t="n"/>
      <c r="AI129" s="96" t="n"/>
      <c r="AJ129" s="88" t="n">
        <v>1126</v>
      </c>
      <c r="AK129" s="88" t="n">
        <v>246</v>
      </c>
      <c r="AL129" s="88" t="n">
        <v>667</v>
      </c>
      <c r="AM129" s="88" t="n">
        <v>1063</v>
      </c>
      <c r="AN129" s="88" t="n">
        <v>661</v>
      </c>
      <c r="AO129" s="88" t="n">
        <v>137</v>
      </c>
      <c r="AP129" s="97" t="n"/>
      <c r="AQ129" s="92" t="n"/>
      <c r="AR129" s="98" t="inlineStr">
        <is>
          <t>Y</t>
        </is>
      </c>
      <c r="AS129" s="98" t="inlineStr">
        <is>
          <t>List Price</t>
        </is>
      </c>
      <c r="AT129" s="99" t="n">
        <v>129.99</v>
      </c>
      <c r="AU129" s="99" t="n">
        <v>79.98999999999999</v>
      </c>
      <c r="AV129" s="98" t="inlineStr">
        <is>
          <t>none</t>
        </is>
      </c>
      <c r="AW129" s="98" t="inlineStr">
        <is>
          <t>Y</t>
        </is>
      </c>
      <c r="AX129" s="98" t="inlineStr">
        <is>
          <t>2026-10-13 12:11:32</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_xlfn.IMAGE("https://images-na.ssl-images-amazon.com/images/I/81svKInu7aL.jpg")</f>
        <v/>
      </c>
      <c r="B130" s="86" t="inlineStr">
        <is>
          <t>Bambaw</t>
        </is>
      </c>
      <c r="C130" s="32" t="inlineStr">
        <is>
          <t>Bambaw 100% Viscose Derived from Bamboo Sheets Queen Size Set – 4pcs Cooling Sheet Set, Super Soft Sheets Queen Size, Luxury Bed Sheets, Deep Pocket Fits Up to 16'' Mattresses (Charcoal)</t>
        </is>
      </c>
      <c r="D130" s="86" t="inlineStr">
        <is>
          <t>Beatable</t>
        </is>
      </c>
      <c r="E130" s="87" t="inlineStr">
        <is>
          <t>B07K6SYX8L</t>
        </is>
      </c>
      <c r="F130" s="87" t="inlineStr">
        <is>
          <t>B0DR99Q37Y</t>
        </is>
      </c>
      <c r="G130" s="86" t="inlineStr">
        <is>
          <t>Queen</t>
        </is>
      </c>
      <c r="H130" s="86" t="inlineStr">
        <is>
          <t>Charcoal</t>
        </is>
      </c>
      <c r="I130" s="88" t="n">
        <v>104</v>
      </c>
      <c r="J130" s="32" t="inlineStr">
        <is>
          <t>B0DR99Q37Y (55%), B0DR98VW37 (10%), B0F2J1742T (7%), B0DR98HVG3 (5%), B0H3BQSQ1X (5%)</t>
        </is>
      </c>
      <c r="K130" s="89" t="n">
        <v>89.98999999999999</v>
      </c>
      <c r="L130" s="89" t="n"/>
      <c r="M130" s="90">
        <f>IF(AND(ISNUMBER(L130),ISNUMBER(K130),N(K130)&gt;0),L130/K130-1,"")</f>
        <v/>
      </c>
      <c r="N130" s="91">
        <f>IF(M130="","No List Price",IF(M130&lt;=0,"At/below price",IF(M130&lt;=0.12,"&lt;=12% STR zone",IF(M130&lt;=0.25,"12-25%","&gt;25% over"))))</f>
        <v/>
      </c>
      <c r="O130" s="89" t="n">
        <v>89.98999999999999</v>
      </c>
      <c r="P130" s="92">
        <f>IF(AND(ISNUMBER(K130),ISNUMBER(O130),N(O130)&gt;0),K130/O130-1,"")</f>
        <v/>
      </c>
      <c r="Q130" s="32" t="inlineStr">
        <is>
          <t>Same size (Queen). Ours live: Helium 10 Xray, 2026-10-13; 15 children</t>
        </is>
      </c>
      <c r="R130" s="88" t="n">
        <v>6971</v>
      </c>
      <c r="S130" s="88" t="n">
        <v>104</v>
      </c>
      <c r="T130" s="93">
        <f>IF(AND(ISNUMBER(K130),ISNUMBER(S130)),K130*S130*52/12,"")</f>
        <v/>
      </c>
      <c r="U130" s="94" t="n">
        <v>4.3</v>
      </c>
      <c r="V130" s="88" t="n">
        <v>2766</v>
      </c>
      <c r="W130" s="95" t="n">
        <v>46307</v>
      </c>
      <c r="X130" s="95" t="n">
        <v>45649</v>
      </c>
      <c r="Y130" s="86" t="inlineStr">
        <is>
          <t>FBA</t>
        </is>
      </c>
      <c r="Z130" s="86" t="inlineStr">
        <is>
          <t>BE</t>
        </is>
      </c>
      <c r="AA130" s="88" t="n">
        <v>407949</v>
      </c>
      <c r="AB130" s="88" t="n">
        <v>2137</v>
      </c>
      <c r="AC130" s="96" t="n">
        <v>0.5037485506766772</v>
      </c>
      <c r="AD130" s="96" t="n">
        <v>0.4962515277645003</v>
      </c>
      <c r="AE130" s="32" t="inlineStr">
        <is>
          <t>bamboo sheets</t>
        </is>
      </c>
      <c r="AF130" s="96" t="n">
        <v>0.8267479513370544</v>
      </c>
      <c r="AG130" s="96" t="n">
        <v>0.000431426477329274</v>
      </c>
      <c r="AH130" s="96" t="n">
        <v>0.3636508485129268</v>
      </c>
      <c r="AI130" s="96" t="n">
        <v>0.003414642516589083</v>
      </c>
      <c r="AJ130" s="88" t="n">
        <v>1036</v>
      </c>
      <c r="AK130" s="88" t="n">
        <v>263</v>
      </c>
      <c r="AL130" s="88" t="n">
        <v>666</v>
      </c>
      <c r="AM130" s="88" t="n">
        <v>1101</v>
      </c>
      <c r="AN130" s="88" t="n">
        <v>402</v>
      </c>
      <c r="AO130" s="88" t="n">
        <v>92</v>
      </c>
      <c r="AP130" s="97" t="n">
        <v>1.374474053295933</v>
      </c>
      <c r="AQ130" s="92" t="n">
        <v>1.381825760733639</v>
      </c>
      <c r="AR130" s="98" t="inlineStr">
        <is>
          <t>N</t>
        </is>
      </c>
      <c r="AS130" s="98" t="inlineStr">
        <is>
          <t>none</t>
        </is>
      </c>
      <c r="AT130" s="104" t="n"/>
      <c r="AU130" s="99" t="n">
        <v>89.98999999999999</v>
      </c>
      <c r="AV130" s="98" t="inlineStr">
        <is>
          <t>none</t>
        </is>
      </c>
      <c r="AW130" s="98" t="inlineStr">
        <is>
          <t>Y</t>
        </is>
      </c>
      <c r="AX130" s="98" t="inlineStr">
        <is>
          <t>2026-10-13 12:10:28</t>
        </is>
      </c>
      <c r="AY130" s="100" t="inlineStr">
        <is>
          <t>None</t>
        </is>
      </c>
      <c r="AZ130" s="105" t="n"/>
      <c r="BA130" s="101" t="n">
        <v>89.98999999999999</v>
      </c>
      <c r="BB130" s="101" t="n">
        <v>89.98999999999999</v>
      </c>
      <c r="BC130" s="90">
        <f>IF(AND(ISNUMBER(BA130),ISNUMBER(BB130),N(BA130)&gt;0),1-BB130/BA130,"")</f>
        <v/>
      </c>
      <c r="BD130" s="102" t="n">
        <v>12712</v>
      </c>
      <c r="BE130" s="102" t="n">
        <v>10881</v>
      </c>
      <c r="BF130" s="103">
        <f>IF(AND(ISNUMBER(BD130),ISNUMBER(BE130),N(BE130)&gt;0),BD130/BE130,"")</f>
        <v/>
      </c>
      <c r="BG130" s="100" t="inlineStr">
        <is>
          <t>N</t>
        </is>
      </c>
      <c r="BH130" s="100" t="inlineStr">
        <is>
          <t>List Price $103.45</t>
        </is>
      </c>
    </row>
    <row r="131" ht="62" customHeight="1">
      <c r="A131" s="10">
        <f>_xlfn.IMAGE("https://images-na.ssl-images-amazon.com/images/I/81suQgVR0GL.jpg")</f>
        <v/>
      </c>
      <c r="B131" s="86" t="inlineStr">
        <is>
          <t>Bedsure</t>
        </is>
      </c>
      <c r="C131" s="32" t="inlineStr">
        <is>
          <t>Bedsure PureWoven Organically Grown Bamboo Viscose Queen Sheet Set, 4PCS</t>
        </is>
      </c>
      <c r="D131" s="86" t="inlineStr">
        <is>
          <t>Beatable</t>
        </is>
      </c>
      <c r="E131" s="87" t="inlineStr">
        <is>
          <t>B0FB8XS4D1</t>
        </is>
      </c>
      <c r="F131" s="87" t="inlineStr">
        <is>
          <t>B0FB8XR43Q</t>
        </is>
      </c>
      <c r="G131" s="86" t="inlineStr">
        <is>
          <t>Queen</t>
        </is>
      </c>
      <c r="H131" s="86" t="inlineStr">
        <is>
          <t>01 - White</t>
        </is>
      </c>
      <c r="I131" s="88" t="n">
        <v>39</v>
      </c>
      <c r="J131" s="32" t="inlineStr">
        <is>
          <t>B0FB8XR43Q (31%), B0FB8ZTD7M (18%), B0GLN6VP9Y (11%), B0FB8YV6C7 (10%), B0FB8Z4GGW (10%)</t>
        </is>
      </c>
      <c r="K131" s="89" t="n">
        <v>89.98999999999999</v>
      </c>
      <c r="L131" s="89" t="n">
        <v>119.99</v>
      </c>
      <c r="M131" s="90">
        <f>IF(AND(ISNUMBER(L131),ISNUMBER(K131),N(K131)&gt;0),L131/K131-1,"")</f>
        <v/>
      </c>
      <c r="N131" s="91">
        <f>IF(M131="","No List Price",IF(M131&lt;=0,"At/below price",IF(M131&lt;=0.12,"&lt;=12% STR zone",IF(M131&lt;=0.25,"12-25%","&gt;25% over"))))</f>
        <v/>
      </c>
      <c r="O131" s="89" t="n">
        <v>89.98999999999999</v>
      </c>
      <c r="P131" s="92">
        <f>IF(AND(ISNUMBER(K131),ISNUMBER(O131),N(O131)&gt;0),K131/O131-1,"")</f>
        <v/>
      </c>
      <c r="Q131" s="32" t="inlineStr">
        <is>
          <t>Same size (Queen). Ours live: Helium 10 Xray, 2026-10-13; 15 children</t>
        </is>
      </c>
      <c r="R131" s="88" t="n">
        <v>8938</v>
      </c>
      <c r="S131" s="88" t="n">
        <v>104</v>
      </c>
      <c r="T131" s="93">
        <f>IF(AND(ISNUMBER(K131),ISNUMBER(S131)),K131*S131*52/12,"")</f>
        <v/>
      </c>
      <c r="U131" s="94" t="n">
        <v>4.5</v>
      </c>
      <c r="V131" s="88" t="n">
        <v>588</v>
      </c>
      <c r="W131" s="95" t="n">
        <v>46307</v>
      </c>
      <c r="X131" s="95" t="n">
        <v>45936</v>
      </c>
      <c r="Y131" s="86" t="inlineStr">
        <is>
          <t>FBA</t>
        </is>
      </c>
      <c r="Z131" s="86" t="inlineStr">
        <is>
          <t>US</t>
        </is>
      </c>
      <c r="AA131" s="88" t="n">
        <v>840292</v>
      </c>
      <c r="AB131" s="88" t="n">
        <v>3961</v>
      </c>
      <c r="AC131" s="96" t="n">
        <v>0.1404099194089678</v>
      </c>
      <c r="AD131" s="96" t="n">
        <v>0.8595901834124341</v>
      </c>
      <c r="AE131" s="32" t="inlineStr">
        <is>
          <t>bamboo sheets</t>
        </is>
      </c>
      <c r="AF131" s="96" t="n">
        <v>0.9284082199997143</v>
      </c>
      <c r="AG131" s="96" t="n">
        <v>0.9843340172225845</v>
      </c>
      <c r="AH131" s="96" t="n">
        <v>0.5269953777972419</v>
      </c>
      <c r="AI131" s="96" t="n">
        <v>0.000478405125837209</v>
      </c>
      <c r="AJ131" s="88" t="n">
        <v>1306</v>
      </c>
      <c r="AK131" s="88" t="n">
        <v>157</v>
      </c>
      <c r="AL131" s="88" t="n">
        <v>1057</v>
      </c>
      <c r="AM131" s="88" t="n">
        <v>2655</v>
      </c>
      <c r="AN131" s="88" t="n">
        <v>2055</v>
      </c>
      <c r="AO131" s="88" t="n">
        <v>211</v>
      </c>
      <c r="AP131" s="97" t="n">
        <v>1.764832022873481</v>
      </c>
      <c r="AQ131" s="92" t="n">
        <v>-0.09047044632086854</v>
      </c>
      <c r="AR131" s="98" t="inlineStr">
        <is>
          <t>Y</t>
        </is>
      </c>
      <c r="AS131" s="98" t="inlineStr">
        <is>
          <t>List Price</t>
        </is>
      </c>
      <c r="AT131" s="99" t="n">
        <v>119.99</v>
      </c>
      <c r="AU131" s="99" t="n">
        <v>89.98999999999999</v>
      </c>
      <c r="AV131" s="98" t="inlineStr">
        <is>
          <t>none</t>
        </is>
      </c>
      <c r="AW131" s="98" t="inlineStr">
        <is>
          <t>Y</t>
        </is>
      </c>
      <c r="AX131" s="98" t="inlineStr">
        <is>
          <t>2026-10-13 12:10:38</t>
        </is>
      </c>
      <c r="AY131" s="100" t="inlineStr">
        <is>
          <t>Prime Exclusive Discount</t>
        </is>
      </c>
      <c r="AZ131" s="100" t="inlineStr">
        <is>
          <t>11-10 to 12-05</t>
        </is>
      </c>
      <c r="BA131" s="101" t="n">
        <v>99.98999999999999</v>
      </c>
      <c r="BB131" s="101" t="n">
        <v>72.64</v>
      </c>
      <c r="BC131" s="90">
        <f>IF(AND(ISNUMBER(BA131),ISNUMBER(BB131),N(BA131)&gt;0),1-BB131/BA131,"")</f>
        <v/>
      </c>
      <c r="BD131" s="102" t="n">
        <v>53160</v>
      </c>
      <c r="BE131" s="102" t="n">
        <v>53782</v>
      </c>
      <c r="BF131" s="103">
        <f>IF(AND(ISNUMBER(BD131),ISNUMBER(BE131),N(BE131)&gt;0),BD131/BE131,"")</f>
        <v/>
      </c>
      <c r="BG131" s="100" t="inlineStr">
        <is>
          <t>N</t>
        </is>
      </c>
      <c r="BH131" s="100" t="inlineStr">
        <is>
          <t>Prime Exclusive already running before BFCM week; List Price $114.99</t>
        </is>
      </c>
    </row>
    <row r="132" ht="62" customHeight="1">
      <c r="A132" s="10">
        <f>_xlfn.IMAGE("https://images-na.ssl-images-amazon.com/images/I/71sqxa1EquL.jpg")</f>
        <v/>
      </c>
      <c r="B132" s="86" t="inlineStr">
        <is>
          <t>SONORO KATE</t>
        </is>
      </c>
      <c r="C132" s="32" t="inlineStr">
        <is>
          <t>Bamboo Sheets</t>
        </is>
      </c>
      <c r="D132" s="86" t="inlineStr">
        <is>
          <t>Beatable</t>
        </is>
      </c>
      <c r="E132" s="87" t="inlineStr">
        <is>
          <t>B0F4852T9V</t>
        </is>
      </c>
      <c r="F132" s="87" t="inlineStr">
        <is>
          <t>B0F4873G4H</t>
        </is>
      </c>
      <c r="G132" s="86" t="inlineStr">
        <is>
          <t>King</t>
        </is>
      </c>
      <c r="H132" s="86" t="inlineStr">
        <is>
          <t>Dark Grey</t>
        </is>
      </c>
      <c r="I132" s="88" t="n">
        <v>33</v>
      </c>
      <c r="J132" s="32" t="inlineStr">
        <is>
          <t>B0F486MGJ1 (46%), B0F4873G4H (45%)</t>
        </is>
      </c>
      <c r="K132" s="89" t="n">
        <v>79.98999999999999</v>
      </c>
      <c r="L132" s="89" t="n"/>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15 children</t>
        </is>
      </c>
      <c r="R132" s="88" t="n">
        <v>7961</v>
      </c>
      <c r="S132" s="88" t="n">
        <v>104</v>
      </c>
      <c r="T132" s="93">
        <f>IF(AND(ISNUMBER(K132),ISNUMBER(S132)),K132*S132*52/12,"")</f>
        <v/>
      </c>
      <c r="U132" s="94" t="n">
        <v>4.5</v>
      </c>
      <c r="V132" s="88" t="n">
        <v>3776</v>
      </c>
      <c r="W132" s="95" t="n">
        <v>46307</v>
      </c>
      <c r="X132" s="95" t="n"/>
      <c r="Y132" s="86" t="n"/>
      <c r="Z132" s="86" t="n"/>
      <c r="AA132" s="88" t="n">
        <v>185157</v>
      </c>
      <c r="AB132" s="88" t="n">
        <v>1447</v>
      </c>
      <c r="AC132" s="96" t="n">
        <v>0.9776013545261586</v>
      </c>
      <c r="AD132" s="96" t="n">
        <v>0.02239928493116653</v>
      </c>
      <c r="AE132" s="32" t="inlineStr">
        <is>
          <t>bamboo sheets</t>
        </is>
      </c>
      <c r="AF132" s="96" t="n">
        <v>0.4342476924987983</v>
      </c>
      <c r="AG132" s="96" t="n"/>
      <c r="AH132" s="96" t="n"/>
      <c r="AI132" s="96" t="n">
        <v>0.1639959601851402</v>
      </c>
      <c r="AJ132" s="88" t="n">
        <v>770</v>
      </c>
      <c r="AK132" s="88" t="n">
        <v>203</v>
      </c>
      <c r="AL132" s="88" t="n">
        <v>507</v>
      </c>
      <c r="AM132" s="88" t="n">
        <v>677</v>
      </c>
      <c r="AN132" s="88" t="n">
        <v>80</v>
      </c>
      <c r="AO132" s="88" t="n">
        <v>6</v>
      </c>
      <c r="AP132" s="97" t="n">
        <v>1.314808539478143</v>
      </c>
      <c r="AQ132" s="92" t="n">
        <v>0.6186540731995278</v>
      </c>
      <c r="AR132" s="98" t="inlineStr">
        <is>
          <t>N</t>
        </is>
      </c>
      <c r="AS132" s="98" t="inlineStr">
        <is>
          <t>none</t>
        </is>
      </c>
      <c r="AT132" s="104" t="n"/>
      <c r="AU132" s="99" t="n">
        <v>79.98999999999999</v>
      </c>
      <c r="AV132" s="98" t="inlineStr">
        <is>
          <t>coupon $5</t>
        </is>
      </c>
      <c r="AW132" s="98" t="inlineStr">
        <is>
          <t>Y</t>
        </is>
      </c>
      <c r="AX132" s="98" t="inlineStr">
        <is>
          <t>2026-10-13 12:11:19</t>
        </is>
      </c>
      <c r="AY132" s="100" t="inlineStr">
        <is>
          <t>Prime Exclusive Discount</t>
        </is>
      </c>
      <c r="AZ132" s="100" t="inlineStr">
        <is>
          <t>11-20 to 12-01</t>
        </is>
      </c>
      <c r="BA132" s="101" t="n">
        <v>79.98999999999999</v>
      </c>
      <c r="BB132" s="101" t="n">
        <v>63.99</v>
      </c>
      <c r="BC132" s="90">
        <f>IF(AND(ISNUMBER(BA132),ISNUMBER(BB132),N(BA132)&gt;0),1-BB132/BA132,"")</f>
        <v/>
      </c>
      <c r="BD132" s="102" t="n">
        <v>36662</v>
      </c>
      <c r="BE132" s="102" t="n">
        <v>23612</v>
      </c>
      <c r="BF132" s="103">
        <f>IF(AND(ISNUMBER(BD132),ISNUMBER(BE132),N(BE132)&gt;0),BD132/BE132,"")</f>
        <v/>
      </c>
      <c r="BG132" s="100" t="inlineStr">
        <is>
          <t>N</t>
        </is>
      </c>
      <c r="BH132" s="100" t="inlineStr">
        <is>
          <t>Coupon 15% (11-06 to 11-19); List Price $79.99</t>
        </is>
      </c>
    </row>
    <row r="133" ht="62" customHeight="1">
      <c r="A133" s="10">
        <f>_xlfn.IMAGE("https://images-na.ssl-images-amazon.com/images/I/71Pl57-j67L.jpg")</f>
        <v/>
      </c>
      <c r="B133" s="86" t="inlineStr">
        <is>
          <t>BC BELLA COTERIE</t>
        </is>
      </c>
      <c r="C133" s="32" t="inlineStr">
        <is>
          <t>Bella Coterie Luxury Bamboo Viscose King Size Sheet Set</t>
        </is>
      </c>
      <c r="D133" s="86" t="inlineStr">
        <is>
          <t>Beatable</t>
        </is>
      </c>
      <c r="E133" s="87" t="inlineStr">
        <is>
          <t>B0H29V113N</t>
        </is>
      </c>
      <c r="F133" s="87" t="inlineStr">
        <is>
          <t>B08L86VLZB</t>
        </is>
      </c>
      <c r="G133" s="86" t="inlineStr">
        <is>
          <t>King - 2 Pillowcases</t>
        </is>
      </c>
      <c r="H133" s="86" t="inlineStr">
        <is>
          <t>01 - White</t>
        </is>
      </c>
      <c r="I133" s="88" t="n">
        <v>258</v>
      </c>
      <c r="J133" s="32" t="inlineStr">
        <is>
          <t>B0C979FD5Z (12%), B09JTQMF5C (11%), B08L86VLZB (6%), B08L85SV5Z (5%), B09JV1NG9R (4%)</t>
        </is>
      </c>
      <c r="K133" s="89" t="n">
        <v>154.99</v>
      </c>
      <c r="L133" s="89" t="n"/>
      <c r="M133" s="90">
        <f>IF(AND(ISNUMBER(L133),ISNUMBER(K133),N(K133)&gt;0),L133/K133-1,"")</f>
        <v/>
      </c>
      <c r="N133" s="91">
        <f>IF(M133="","No List Price",IF(M133&lt;=0,"At/below price",IF(M133&lt;=0.12,"&lt;=12% STR zone",IF(M133&lt;=0.25,"12-25%","&gt;25% over"))))</f>
        <v/>
      </c>
      <c r="O133" s="89" t="n">
        <v>80.69429159318052</v>
      </c>
      <c r="P133" s="92">
        <f>IF(AND(ISNUMBER(K133),ISNUMBER(O133),N(O133)&gt;0),K133/O133-1,"")</f>
        <v/>
      </c>
      <c r="Q133" s="32" t="inlineStr">
        <is>
          <t>vs our blended price (Command Center, Mar 2026 - STALE)</t>
        </is>
      </c>
      <c r="R133" s="88" t="n">
        <v>1358</v>
      </c>
      <c r="S133" s="88" t="n">
        <v>92</v>
      </c>
      <c r="T133" s="93">
        <f>IF(AND(ISNUMBER(K133),ISNUMBER(S133)),K133*S133*52/12,"")</f>
        <v/>
      </c>
      <c r="U133" s="94" t="n">
        <v>4.4</v>
      </c>
      <c r="V133" s="88" t="n">
        <v>5871</v>
      </c>
      <c r="W133" s="95" t="n">
        <v>46307</v>
      </c>
      <c r="X133" s="95" t="n">
        <v>44154</v>
      </c>
      <c r="Y133" s="86" t="inlineStr">
        <is>
          <t>FBA</t>
        </is>
      </c>
      <c r="Z133" s="86" t="inlineStr">
        <is>
          <t>US</t>
        </is>
      </c>
      <c r="AA133" s="88" t="n">
        <v>591713</v>
      </c>
      <c r="AB133" s="88" t="n">
        <v>5504</v>
      </c>
      <c r="AC133" s="96" t="n">
        <v>0.3622702587234016</v>
      </c>
      <c r="AD133" s="96" t="n">
        <v>0.6377298332130611</v>
      </c>
      <c r="AE133" s="32" t="inlineStr">
        <is>
          <t>bamboo sheets</t>
        </is>
      </c>
      <c r="AF133" s="96" t="n">
        <v>0.9808184035165697</v>
      </c>
      <c r="AG133" s="96" t="n">
        <v>0.5730548424658576</v>
      </c>
      <c r="AH133" s="96" t="n">
        <v>0.5581810776508206</v>
      </c>
      <c r="AI133" s="96" t="n">
        <v>0.03836488297536136</v>
      </c>
      <c r="AJ133" s="88" t="n">
        <v>1480</v>
      </c>
      <c r="AK133" s="88" t="n">
        <v>324</v>
      </c>
      <c r="AL133" s="88" t="n">
        <v>996</v>
      </c>
      <c r="AM133" s="88" t="n">
        <v>4024</v>
      </c>
      <c r="AN133" s="88" t="n">
        <v>2046</v>
      </c>
      <c r="AO133" s="88" t="n">
        <v>149</v>
      </c>
      <c r="AP133" s="97" t="n">
        <v>1.778087279480037</v>
      </c>
      <c r="AQ133" s="92" t="n">
        <v>0.3772549019607843</v>
      </c>
      <c r="AR133" s="98" t="inlineStr">
        <is>
          <t>N</t>
        </is>
      </c>
      <c r="AS133" s="98" t="inlineStr">
        <is>
          <t>none</t>
        </is>
      </c>
      <c r="AT133" s="104" t="n"/>
      <c r="AU133" s="99" t="n">
        <v>169.99</v>
      </c>
      <c r="AV133" s="98" t="inlineStr">
        <is>
          <t>none</t>
        </is>
      </c>
      <c r="AW133" s="98" t="inlineStr">
        <is>
          <t>Y</t>
        </is>
      </c>
      <c r="AX133" s="98" t="inlineStr">
        <is>
          <t>2026-10-13 12:14:18</t>
        </is>
      </c>
      <c r="AY133" s="100" t="inlineStr">
        <is>
          <t>Price cut only</t>
        </is>
      </c>
      <c r="AZ133" s="100" t="inlineStr">
        <is>
          <t>11-20 to 12-01</t>
        </is>
      </c>
      <c r="BA133" s="101" t="n">
        <v>134.99</v>
      </c>
      <c r="BB133" s="101" t="n">
        <v>110.5</v>
      </c>
      <c r="BC133" s="90">
        <f>IF(AND(ISNUMBER(BA133),ISNUMBER(BB133),N(BA133)&gt;0),1-BB133/BA133,"")</f>
        <v/>
      </c>
      <c r="BD133" s="102" t="n">
        <v>3072</v>
      </c>
      <c r="BE133" s="102" t="n">
        <v>1155</v>
      </c>
      <c r="BF133" s="103">
        <f>IF(AND(ISNUMBER(BD133),ISNUMBER(BE133),N(BE133)&gt;0),BD133/BE133,"")</f>
        <v/>
      </c>
      <c r="BG133" s="100" t="inlineStr">
        <is>
          <t>N</t>
        </is>
      </c>
      <c r="BH133" s="100" t="inlineStr">
        <is>
          <t>Coupon 20.00 USD (12-03 to 12-05); List Price $169.99</t>
        </is>
      </c>
    </row>
    <row r="134" ht="62" customHeight="1">
      <c r="A134" s="10">
        <f>_xlfn.IMAGE("https://images-na.ssl-images-amazon.com/images/I/61fbapIObwL.jpg")</f>
        <v/>
      </c>
      <c r="B134" s="86" t="inlineStr">
        <is>
          <t>BAMPURE</t>
        </is>
      </c>
      <c r="C134" s="32" t="inlineStr">
        <is>
          <t>BAMPURE 100% Rayon from Bamboo Sheets King Size - 4pc Cooling King Sheets</t>
        </is>
      </c>
      <c r="D134" s="86" t="inlineStr">
        <is>
          <t>Beatable</t>
        </is>
      </c>
      <c r="E134" s="87" t="inlineStr">
        <is>
          <t>B0HC778XB4</t>
        </is>
      </c>
      <c r="F134" s="87" t="inlineStr">
        <is>
          <t>B07XFP6BY2</t>
        </is>
      </c>
      <c r="G134" s="86" t="inlineStr">
        <is>
          <t>King</t>
        </is>
      </c>
      <c r="H134" s="86" t="inlineStr">
        <is>
          <t>White</t>
        </is>
      </c>
      <c r="I134" s="88" t="n">
        <v>40</v>
      </c>
      <c r="J134" s="32" t="inlineStr">
        <is>
          <t>B07XBJY2JR (65%), B07XFP6BY2 (21%)</t>
        </is>
      </c>
      <c r="K134" s="89" t="n">
        <v>67.98</v>
      </c>
      <c r="L134" s="89" t="n">
        <v>99.98999999999999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(King). Ours live: Helium 10 Xray, 2026-10-13; 15 children</t>
        </is>
      </c>
      <c r="R134" s="88" t="n">
        <v>14479</v>
      </c>
      <c r="S134" s="88" t="n">
        <v>81</v>
      </c>
      <c r="T134" s="93">
        <f>IF(AND(ISNUMBER(K134),ISNUMBER(S134)),K134*S134*52/12,"")</f>
        <v/>
      </c>
      <c r="U134" s="94" t="n">
        <v>4.4</v>
      </c>
      <c r="V134" s="88" t="n">
        <v>4095</v>
      </c>
      <c r="W134" s="95" t="n">
        <v>46307</v>
      </c>
      <c r="X134" s="95" t="n">
        <v>43776</v>
      </c>
      <c r="Y134" s="86" t="inlineStr">
        <is>
          <t>FBA</t>
        </is>
      </c>
      <c r="Z134" s="86" t="inlineStr">
        <is>
          <t>US</t>
        </is>
      </c>
      <c r="AA134" s="88" t="n">
        <v>67699</v>
      </c>
      <c r="AB134" s="88" t="n">
        <v>1687</v>
      </c>
      <c r="AC134" s="96" t="n">
        <v>0.8589487052984534</v>
      </c>
      <c r="AD134" s="96" t="n">
        <v>0.1410512947015465</v>
      </c>
      <c r="AE134" s="32" t="inlineStr">
        <is>
          <t>bamboo sheets</t>
        </is>
      </c>
      <c r="AF134" s="96" t="n">
        <v>0.9117121375500377</v>
      </c>
      <c r="AG134" s="96" t="n"/>
      <c r="AH134" s="96" t="n"/>
      <c r="AI134" s="96" t="n"/>
      <c r="AJ134" s="88" t="n">
        <v>882</v>
      </c>
      <c r="AK134" s="88" t="n">
        <v>486</v>
      </c>
      <c r="AL134" s="88" t="n">
        <v>217</v>
      </c>
      <c r="AM134" s="88" t="n">
        <v>805</v>
      </c>
      <c r="AN134" s="88" t="n">
        <v>204</v>
      </c>
      <c r="AO134" s="88" t="n">
        <v>32</v>
      </c>
      <c r="AP134" s="97" t="n">
        <v>1.016706443914081</v>
      </c>
      <c r="AQ134" s="92" t="n">
        <v>-0.2868217054263565</v>
      </c>
      <c r="AR134" s="98" t="inlineStr">
        <is>
          <t>Y</t>
        </is>
      </c>
      <c r="AS134" s="98" t="inlineStr">
        <is>
          <t>List Price</t>
        </is>
      </c>
      <c r="AT134" s="99" t="n">
        <v>99.98999999999999</v>
      </c>
      <c r="AU134" s="99" t="n">
        <v>67.98</v>
      </c>
      <c r="AV134" s="98" t="inlineStr">
        <is>
          <t>Limited time deal</t>
        </is>
      </c>
      <c r="AW134" s="98" t="inlineStr">
        <is>
          <t>Y</t>
        </is>
      </c>
      <c r="AX134" s="98" t="inlineStr">
        <is>
          <t>2026-10-13 12:10:12</t>
        </is>
      </c>
      <c r="AY134" s="100" t="inlineStr">
        <is>
          <t>Prime Exclusive Discount</t>
        </is>
      </c>
      <c r="AZ134" s="100" t="inlineStr">
        <is>
          <t>11-22 to 12-01</t>
        </is>
      </c>
      <c r="BA134" s="101" t="n">
        <v>84.98999999999999</v>
      </c>
      <c r="BB134" s="101" t="n">
        <v>79.98999999999999</v>
      </c>
      <c r="BC134" s="90">
        <f>IF(AND(ISNUMBER(BA134),ISNUMBER(BB134),N(BA134)&gt;0),1-BB134/BA134,"")</f>
        <v/>
      </c>
      <c r="BD134" s="102" t="n">
        <v>31768</v>
      </c>
      <c r="BE134" s="102" t="n">
        <v>27833</v>
      </c>
      <c r="BF134" s="103">
        <f>IF(AND(ISNUMBER(BD134),ISNUMBER(BE134),N(BE134)&gt;0),BD134/BE134,"")</f>
        <v/>
      </c>
      <c r="BG134" s="100" t="inlineStr">
        <is>
          <t>N</t>
        </is>
      </c>
      <c r="BH134" s="100" t="inlineStr">
        <is>
          <t>Coupon 5.00 USD (11-01 to 11-04); Buy Box RAISED in BFCM week (median $99.99 vs $84.99 before); List Price $99.99</t>
        </is>
      </c>
    </row>
    <row r="135" ht="62" customHeight="1">
      <c r="A135" s="10">
        <f>_xlfn.IMAGE("https://m.media-amazon.com/images/I/71F+539t2YL._AC_SL1500_.jpg")</f>
        <v/>
      </c>
      <c r="B135" s="86" t="inlineStr">
        <is>
          <t>BEDELITE</t>
        </is>
      </c>
      <c r="C135" s="32" t="inlineStr">
        <is>
          <t>BEDELITE Bamboo Viscose Sheet Set, Queen Size, 4 Pieces, White</t>
        </is>
      </c>
      <c r="D135" s="86" t="inlineStr">
        <is>
          <t>Beatable</t>
        </is>
      </c>
      <c r="E135" s="87" t="inlineStr">
        <is>
          <t>B0GT98GVQN</t>
        </is>
      </c>
      <c r="F135" s="87" t="inlineStr">
        <is>
          <t>B0GT8Z4X5D</t>
        </is>
      </c>
      <c r="G135" s="86" t="inlineStr">
        <is>
          <t>Queen</t>
        </is>
      </c>
      <c r="H135" s="86" t="inlineStr">
        <is>
          <t>White</t>
        </is>
      </c>
      <c r="I135" s="88" t="n">
        <v>8</v>
      </c>
      <c r="J135" s="32" t="inlineStr">
        <is>
          <t>B0GT8Z4X5D (87%)</t>
        </is>
      </c>
      <c r="K135" s="89" t="n">
        <v>84.98</v>
      </c>
      <c r="L135" s="89" t="n">
        <v>99.89</v>
      </c>
      <c r="M135" s="90">
        <f>IF(AND(ISNUMBER(L135),ISNUMBER(K135),N(K135)&gt;0),L135/K135-1,"")</f>
        <v/>
      </c>
      <c r="N135" s="91">
        <f>IF(M135="","No List Price",IF(M135&lt;=0,"At/below price",IF(M135&lt;=0.12,"&lt;=12% STR zone",IF(M135&lt;=0.25,"12-25%","&gt;25% over"))))</f>
        <v/>
      </c>
      <c r="O135" s="89" t="n">
        <v>89.98999999999999</v>
      </c>
      <c r="P135" s="92">
        <f>IF(AND(ISNUMBER(K135),ISNUMBER(O135),N(O135)&gt;0),K135/O135-1,"")</f>
        <v/>
      </c>
      <c r="Q135" s="32" t="inlineStr">
        <is>
          <t>Same size (Queen). Ours live: Helium 10 Xray, 2026-10-13; 15 children</t>
        </is>
      </c>
      <c r="R135" s="88" t="n">
        <v>65907</v>
      </c>
      <c r="S135" s="88" t="n">
        <v>81</v>
      </c>
      <c r="T135" s="93">
        <f>IF(AND(ISNUMBER(K135),ISNUMBER(S135)),K135*S135*52/12,"")</f>
        <v/>
      </c>
      <c r="U135" s="94" t="n">
        <v>4.5</v>
      </c>
      <c r="V135" s="88" t="n">
        <v>113</v>
      </c>
      <c r="W135" s="95" t="n">
        <v>46307</v>
      </c>
      <c r="X135" s="95" t="n"/>
      <c r="Y135" s="86" t="n"/>
      <c r="Z135" s="86" t="n"/>
      <c r="AA135" s="88" t="n">
        <v>212120</v>
      </c>
      <c r="AB135" s="88" t="n">
        <v>1732</v>
      </c>
      <c r="AC135" s="96" t="n">
        <v>0.1115827267584386</v>
      </c>
      <c r="AD135" s="96" t="n">
        <v>0.8884172883273614</v>
      </c>
      <c r="AE135" s="32" t="inlineStr">
        <is>
          <t>queen sheets</t>
        </is>
      </c>
      <c r="AF135" s="96" t="n">
        <v>0.8331840467659816</v>
      </c>
      <c r="AG135" s="96" t="n">
        <v>0.2347161983782765</v>
      </c>
      <c r="AH135" s="96" t="n">
        <v>0.2670893833679049</v>
      </c>
      <c r="AI135" s="96" t="n"/>
      <c r="AJ135" s="88" t="n">
        <v>753</v>
      </c>
      <c r="AK135" s="88" t="n">
        <v>265</v>
      </c>
      <c r="AL135" s="88" t="n">
        <v>427</v>
      </c>
      <c r="AM135" s="88" t="n">
        <v>979</v>
      </c>
      <c r="AN135" s="88" t="n">
        <v>968</v>
      </c>
      <c r="AO135" s="88" t="n">
        <v>93</v>
      </c>
      <c r="AP135" s="97" t="n">
        <v>0.8073654390934845</v>
      </c>
      <c r="AQ135" s="92" t="n">
        <v>0.4972677595628416</v>
      </c>
      <c r="AR135" s="98" t="inlineStr">
        <is>
          <t>Y</t>
        </is>
      </c>
      <c r="AS135" s="98" t="inlineStr">
        <is>
          <t>List Price</t>
        </is>
      </c>
      <c r="AT135" s="99" t="n">
        <v>99.89</v>
      </c>
      <c r="AU135" s="99" t="n">
        <v>84.98</v>
      </c>
      <c r="AV135" s="98" t="inlineStr">
        <is>
          <t>Limited time deal</t>
        </is>
      </c>
      <c r="AW135" s="98" t="inlineStr">
        <is>
          <t>Y</t>
        </is>
      </c>
      <c r="AX135" s="98" t="inlineStr">
        <is>
          <t>2026-10-13 12:10:25</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_xlfn.IMAGE("https://images-na.ssl-images-amazon.com/images/I/71HeTCWM4hL.jpg")</f>
        <v/>
      </c>
      <c r="B136" s="86" t="inlineStr">
        <is>
          <t>SONORO KATE</t>
        </is>
      </c>
      <c r="C136" s="32" t="inlineStr">
        <is>
          <t>SONORO KATE 100% Viscose Derived from Bamboo_Sheets Queen Size,4PC</t>
        </is>
      </c>
      <c r="D136" s="86" t="inlineStr">
        <is>
          <t>Beatable</t>
        </is>
      </c>
      <c r="E136" s="87" t="inlineStr">
        <is>
          <t>B0F29FQLFD</t>
        </is>
      </c>
      <c r="F136" s="87" t="inlineStr">
        <is>
          <t>B0F29F1JM5</t>
        </is>
      </c>
      <c r="G136" s="86" t="inlineStr">
        <is>
          <t>Queen</t>
        </is>
      </c>
      <c r="H136" s="86" t="inlineStr">
        <is>
          <t>Dark Grey</t>
        </is>
      </c>
      <c r="I136" s="88" t="n">
        <v>42</v>
      </c>
      <c r="J136" s="32" t="inlineStr">
        <is>
          <t>B0F29F1JM5 (71%), B0F29HFNNS (19%)</t>
        </is>
      </c>
      <c r="K136" s="89" t="n">
        <v>59.99</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15 children</t>
        </is>
      </c>
      <c r="R136" s="88" t="n">
        <v>23979</v>
      </c>
      <c r="S136" s="88" t="n">
        <v>81</v>
      </c>
      <c r="T136" s="93">
        <f>IF(AND(ISNUMBER(K136),ISNUMBER(S136)),K136*S136*52/12,"")</f>
        <v/>
      </c>
      <c r="U136" s="94" t="n">
        <v>4.5</v>
      </c>
      <c r="V136" s="88" t="n">
        <v>3911</v>
      </c>
      <c r="W136" s="95" t="n">
        <v>46307</v>
      </c>
      <c r="X136" s="95" t="n">
        <v>45740</v>
      </c>
      <c r="Y136" s="86" t="inlineStr">
        <is>
          <t>FBA</t>
        </is>
      </c>
      <c r="Z136" s="86" t="inlineStr">
        <is>
          <t>CN</t>
        </is>
      </c>
      <c r="AA136" s="88" t="n">
        <v>114504</v>
      </c>
      <c r="AB136" s="88" t="n">
        <v>947</v>
      </c>
      <c r="AC136" s="96" t="n">
        <v>0.8792897182631171</v>
      </c>
      <c r="AD136" s="96" t="n">
        <v>0.1207102817368825</v>
      </c>
      <c r="AE136" s="32" t="inlineStr">
        <is>
          <t>bamboo sheets</t>
        </is>
      </c>
      <c r="AF136" s="96" t="n">
        <v>0.3106878362327953</v>
      </c>
      <c r="AG136" s="96" t="n"/>
      <c r="AH136" s="96" t="n"/>
      <c r="AI136" s="96" t="n">
        <v>0.03587647593097185</v>
      </c>
      <c r="AJ136" s="88" t="n">
        <v>641</v>
      </c>
      <c r="AK136" s="88" t="n">
        <v>204</v>
      </c>
      <c r="AL136" s="88" t="n">
        <v>382</v>
      </c>
      <c r="AM136" s="88" t="n">
        <v>306</v>
      </c>
      <c r="AN136" s="88" t="n">
        <v>63</v>
      </c>
      <c r="AO136" s="88" t="n">
        <v>2</v>
      </c>
      <c r="AP136" s="97" t="n">
        <v>1.095271210013908</v>
      </c>
      <c r="AQ136" s="92" t="n">
        <v>-0.1040240897892143</v>
      </c>
      <c r="AR136" s="98" t="inlineStr">
        <is>
          <t>N</t>
        </is>
      </c>
      <c r="AS136" s="98" t="inlineStr">
        <is>
          <t>none</t>
        </is>
      </c>
      <c r="AT136" s="104" t="n"/>
      <c r="AU136" s="99" t="n">
        <v>59.99</v>
      </c>
      <c r="AV136" s="98" t="inlineStr">
        <is>
          <t>coupon 15%</t>
        </is>
      </c>
      <c r="AW136" s="98" t="inlineStr">
        <is>
          <t>Y</t>
        </is>
      </c>
      <c r="AX136" s="98" t="inlineStr">
        <is>
          <t>2026-10-13 12:11:22</t>
        </is>
      </c>
      <c r="AY136" s="100" t="inlineStr">
        <is>
          <t>Prime Exclusive Discount</t>
        </is>
      </c>
      <c r="AZ136" s="100" t="inlineStr">
        <is>
          <t>11-20 to 12-01</t>
        </is>
      </c>
      <c r="BA136" s="101" t="n">
        <v>59.99</v>
      </c>
      <c r="BB136" s="101" t="n">
        <v>47.99</v>
      </c>
      <c r="BC136" s="90">
        <f>IF(AND(ISNUMBER(BA136),ISNUMBER(BB136),N(BA136)&gt;0),1-BB136/BA136,"")</f>
        <v/>
      </c>
      <c r="BD136" s="102" t="n">
        <v>22774</v>
      </c>
      <c r="BE136" s="102" t="n">
        <v>19002</v>
      </c>
      <c r="BF136" s="103">
        <f>IF(AND(ISNUMBER(BD136),ISNUMBER(BE136),N(BE136)&gt;0),BD136/BE136,"")</f>
        <v/>
      </c>
      <c r="BG136" s="100" t="inlineStr">
        <is>
          <t>N</t>
        </is>
      </c>
      <c r="BH136" s="100" t="inlineStr">
        <is>
          <t>Coupon 10% (11-04 to 12-05); List Price $59.99</t>
        </is>
      </c>
    </row>
    <row r="137" ht="62" customHeight="1">
      <c r="A137" s="10">
        <f>_xlfn.IMAGE("https://m.media-amazon.com/images/I/71fKTruZ7YL._AC_SL1500_.jpg")</f>
        <v/>
      </c>
      <c r="B137" s="86" t="inlineStr">
        <is>
          <t>Davmabcjy</t>
        </is>
      </c>
      <c r="C137" s="32" t="inlineStr">
        <is>
          <t>100% Organically Grown Bamboo Viscose King Sheet Set with Pockets on Side</t>
        </is>
      </c>
      <c r="D137" s="86" t="inlineStr">
        <is>
          <t>Beatable</t>
        </is>
      </c>
      <c r="E137" s="87" t="inlineStr">
        <is>
          <t>B0HJZNMQ5G</t>
        </is>
      </c>
      <c r="F137" s="87" t="inlineStr">
        <is>
          <t>B0GXJYQR7H</t>
        </is>
      </c>
      <c r="G137" s="86" t="inlineStr">
        <is>
          <t>King (Deep Fits 16" )</t>
        </is>
      </c>
      <c r="H137" s="86" t="inlineStr">
        <is>
          <t>Dark Grey-side Pockets</t>
        </is>
      </c>
      <c r="I137" s="88" t="n">
        <v>7</v>
      </c>
      <c r="J137" s="32" t="inlineStr">
        <is>
          <t>B0GXJYQR7H (55%), B0GXJPP4YQ (31%)</t>
        </is>
      </c>
      <c r="K137" s="89" t="n">
        <v>59.99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205508</v>
      </c>
      <c r="S137" s="88" t="n">
        <v>35</v>
      </c>
      <c r="T137" s="93">
        <f>IF(AND(ISNUMBER(K137),ISNUMBER(S137)),K137*S137*52/12,"")</f>
        <v/>
      </c>
      <c r="U137" s="94" t="n">
        <v>4.2</v>
      </c>
      <c r="V137" s="88" t="n">
        <v>81</v>
      </c>
      <c r="W137" s="95" t="n">
        <v>46307</v>
      </c>
      <c r="X137" s="95" t="n"/>
      <c r="Y137" s="86" t="n"/>
      <c r="Z137" s="86" t="n"/>
      <c r="AA137" s="88" t="n">
        <v>75425</v>
      </c>
      <c r="AB137" s="88" t="n">
        <v>1329</v>
      </c>
      <c r="AC137" s="96" t="n">
        <v>0.8470417779250914</v>
      </c>
      <c r="AD137" s="96" t="n">
        <v>0.1529598766987073</v>
      </c>
      <c r="AE137" s="32" t="inlineStr">
        <is>
          <t>bamboo sheets</t>
        </is>
      </c>
      <c r="AF137" s="96" t="n">
        <v>0.4214782896917468</v>
      </c>
      <c r="AG137" s="96" t="n"/>
      <c r="AH137" s="96" t="n"/>
      <c r="AI137" s="96" t="n">
        <v>0.01059330460722572</v>
      </c>
      <c r="AJ137" s="88" t="n">
        <v>651</v>
      </c>
      <c r="AK137" s="88" t="n">
        <v>189</v>
      </c>
      <c r="AL137" s="88" t="n">
        <v>389</v>
      </c>
      <c r="AM137" s="88" t="n">
        <v>678</v>
      </c>
      <c r="AN137" s="88" t="n">
        <v>293</v>
      </c>
      <c r="AO137" s="88" t="n">
        <v>23</v>
      </c>
      <c r="AP137" s="97" t="n"/>
      <c r="AQ137" s="92" t="n"/>
      <c r="AR137" s="98" t="inlineStr">
        <is>
          <t>N</t>
        </is>
      </c>
      <c r="AS137" s="98" t="inlineStr">
        <is>
          <t>none</t>
        </is>
      </c>
      <c r="AT137" s="104" t="n"/>
      <c r="AU137" s="99" t="n">
        <v>59.99</v>
      </c>
      <c r="AV137" s="98" t="inlineStr">
        <is>
          <t>none</t>
        </is>
      </c>
      <c r="AW137" s="98" t="inlineStr">
        <is>
          <t>Y</t>
        </is>
      </c>
      <c r="AX137" s="98" t="inlineStr">
        <is>
          <t>2026-10-13 12:10:48</t>
        </is>
      </c>
      <c r="AY137" s="100" t="inlineStr">
        <is>
          <t>Not live in 2025</t>
        </is>
      </c>
      <c r="AZ137" s="105" t="n"/>
      <c r="BA137" s="104" t="n"/>
      <c r="BB137" s="104" t="n"/>
      <c r="BC137" s="90">
        <f>IF(AND(ISNUMBER(BA137),ISNUMBER(BB137),N(BA137)&gt;0),1-BB137/BA137,"")</f>
        <v/>
      </c>
      <c r="BD137" s="106" t="n"/>
      <c r="BE137" s="106" t="n"/>
      <c r="BF137" s="103">
        <f>IF(AND(ISNUMBER(BD137),ISNUMBER(BE137),N(BE137)&gt;0),BD137/BE137,"")</f>
        <v/>
      </c>
      <c r="BG137" s="105" t="n"/>
      <c r="BH137" s="105" t="n"/>
    </row>
    <row r="138" ht="62" customHeight="1">
      <c r="A138" s="10">
        <f>_xlfn.IMAGE("https://images-na.ssl-images-amazon.com/images/I/710aWpCd4AL.jpg")</f>
        <v/>
      </c>
      <c r="B138" s="86" t="inlineStr">
        <is>
          <t>DOZ by SIJO</t>
        </is>
      </c>
      <c r="C138" s="32" t="inlineStr">
        <is>
          <t>Bamboo Sheets</t>
        </is>
      </c>
      <c r="D138" s="86" t="inlineStr">
        <is>
          <t>Beatable</t>
        </is>
      </c>
      <c r="E138" s="87" t="inlineStr">
        <is>
          <t>B0DCZGYVZ9</t>
        </is>
      </c>
      <c r="F138" s="87" t="inlineStr">
        <is>
          <t>B0F24TRXCZ</t>
        </is>
      </c>
      <c r="G138" s="86" t="inlineStr">
        <is>
          <t>Queen</t>
        </is>
      </c>
      <c r="H138" s="86" t="inlineStr">
        <is>
          <t>Olive</t>
        </is>
      </c>
      <c r="I138" s="88" t="n">
        <v>131</v>
      </c>
      <c r="J138" s="32" t="inlineStr">
        <is>
          <t>B0B8JLLT45 (39%), B0B8JK78HR (6%), B0CS36MKM9 (5%), B0BRWD6PRK (4%), B0B9T44SJV (4%)</t>
        </is>
      </c>
      <c r="K138" s="89" t="n">
        <v>55</v>
      </c>
      <c r="L138" s="89" t="n"/>
      <c r="M138" s="90">
        <f>IF(AND(ISNUMBER(L138),ISNUMBER(K138),N(K138)&gt;0),L138/K138-1,"")</f>
        <v/>
      </c>
      <c r="N138" s="91">
        <f>IF(M138="","No List Price",IF(M138&lt;=0,"At/below price",IF(M138&lt;=0.12,"&lt;=12% STR zone",IF(M138&lt;=0.25,"12-25%","&gt;25% over"))))</f>
        <v/>
      </c>
      <c r="O138" s="89" t="n">
        <v>89.98999999999999</v>
      </c>
      <c r="P138" s="92">
        <f>IF(AND(ISNUMBER(K138),ISNUMBER(O138),N(O138)&gt;0),K138/O138-1,"")</f>
        <v/>
      </c>
      <c r="Q138" s="32" t="inlineStr">
        <is>
          <t>Same size (Queen). Ours live: Helium 10 Xray, 2026-10-13; 15 children</t>
        </is>
      </c>
      <c r="R138" s="88" t="n">
        <v>4051</v>
      </c>
      <c r="S138" s="88" t="n">
        <v>35</v>
      </c>
      <c r="T138" s="93">
        <f>IF(AND(ISNUMBER(K138),ISNUMBER(S138)),K138*S138*52/12,"")</f>
        <v/>
      </c>
      <c r="U138" s="94" t="n">
        <v>4.4</v>
      </c>
      <c r="V138" s="88" t="n">
        <v>1909</v>
      </c>
      <c r="W138" s="95" t="n">
        <v>46307</v>
      </c>
      <c r="X138" s="95" t="n"/>
      <c r="Y138" s="86" t="n"/>
      <c r="Z138" s="86" t="n"/>
      <c r="AA138" s="88" t="n">
        <v>171534</v>
      </c>
      <c r="AB138" s="88" t="n">
        <v>2682</v>
      </c>
      <c r="AC138" s="96" t="n">
        <v>0.5544749851341424</v>
      </c>
      <c r="AD138" s="96" t="n">
        <v>0.4455250335210511</v>
      </c>
      <c r="AE138" s="32" t="inlineStr">
        <is>
          <t>bamboo sheets</t>
        </is>
      </c>
      <c r="AF138" s="96" t="n">
        <v>0.8981426422750008</v>
      </c>
      <c r="AG138" s="96" t="n">
        <v>0.06748516329124256</v>
      </c>
      <c r="AH138" s="96" t="n">
        <v>0.2462310678932456</v>
      </c>
      <c r="AI138" s="96" t="n">
        <v>0.0526193057936036</v>
      </c>
      <c r="AJ138" s="88" t="n">
        <v>1151</v>
      </c>
      <c r="AK138" s="88" t="n">
        <v>315</v>
      </c>
      <c r="AL138" s="88" t="n">
        <v>705</v>
      </c>
      <c r="AM138" s="88" t="n">
        <v>1531</v>
      </c>
      <c r="AN138" s="88" t="n">
        <v>588</v>
      </c>
      <c r="AO138" s="88" t="n">
        <v>82</v>
      </c>
      <c r="AP138" s="97" t="n"/>
      <c r="AQ138" s="92" t="n"/>
      <c r="AR138" s="98" t="inlineStr">
        <is>
          <t>N</t>
        </is>
      </c>
      <c r="AS138" s="98" t="inlineStr">
        <is>
          <t>none</t>
        </is>
      </c>
      <c r="AT138" s="104" t="n"/>
      <c r="AU138" s="99" t="n">
        <v>55</v>
      </c>
      <c r="AV138" s="98" t="inlineStr">
        <is>
          <t>none</t>
        </is>
      </c>
      <c r="AW138" s="98" t="inlineStr">
        <is>
          <t>Y</t>
        </is>
      </c>
      <c r="AX138" s="98" t="inlineStr">
        <is>
          <t>2026-10-13 12:10:45</t>
        </is>
      </c>
      <c r="AY138" s="100" t="inlineStr">
        <is>
          <t>None</t>
        </is>
      </c>
      <c r="AZ138" s="105" t="n"/>
      <c r="BA138" s="101" t="n">
        <v>55</v>
      </c>
      <c r="BB138" s="101" t="n">
        <v>55</v>
      </c>
      <c r="BC138" s="90">
        <f>IF(AND(ISNUMBER(BA138),ISNUMBER(BB138),N(BA138)&gt;0),1-BB138/BA138,"")</f>
        <v/>
      </c>
      <c r="BD138" s="102" t="n">
        <v>3634538</v>
      </c>
      <c r="BE138" s="102" t="n">
        <v>3088925</v>
      </c>
      <c r="BF138" s="103">
        <f>IF(AND(ISNUMBER(BD138),ISNUMBER(BE138),N(BE138)&gt;0),BD138/BE138,"")</f>
        <v/>
      </c>
      <c r="BG138" s="100" t="inlineStr">
        <is>
          <t>N</t>
        </is>
      </c>
      <c r="BH138" s="100" t="inlineStr">
        <is>
          <t>List Price $55.00</t>
        </is>
      </c>
    </row>
    <row r="139" ht="62" customHeight="1">
      <c r="A139" s="10">
        <f>_xlfn.IMAGE("https://images-na.ssl-images-amazon.com/images/I/81EdgN1LRmL.jpg")</f>
        <v/>
      </c>
      <c r="B139" s="86" t="inlineStr">
        <is>
          <t>GOKOTTA</t>
        </is>
      </c>
      <c r="C139" s="32" t="inlineStr">
        <is>
          <t>GOKOTTA King Bamboo Rayon Sheets Set, Silky Soft Cooling Sheets Stay Put</t>
        </is>
      </c>
      <c r="D139" s="86" t="inlineStr">
        <is>
          <t>Beatable</t>
        </is>
      </c>
      <c r="E139" s="87" t="inlineStr">
        <is>
          <t>B09WV7RN1V</t>
        </is>
      </c>
      <c r="F139" s="87" t="inlineStr">
        <is>
          <t>B0BR53P7DY</t>
        </is>
      </c>
      <c r="G139" s="86" t="inlineStr">
        <is>
          <t>King - 4 PCS</t>
        </is>
      </c>
      <c r="H139" s="86" t="inlineStr">
        <is>
          <t>00 Bright White</t>
        </is>
      </c>
      <c r="I139" s="88" t="n">
        <v>99</v>
      </c>
      <c r="J139" s="32" t="inlineStr">
        <is>
          <t>B0B6VQC7LD (30%), B0BR53P7DY (17%), B07TYC979L (10%), B0BL77QB6N (9%), B0FW3T96RQ (7%)</t>
        </is>
      </c>
      <c r="K139" s="89" t="n">
        <v>109</v>
      </c>
      <c r="L139" s="89" t="n"/>
      <c r="M139" s="90">
        <f>IF(AND(ISNUMBER(L139),ISNUMBER(K139),N(K139)&gt;0),L139/K139-1,"")</f>
        <v/>
      </c>
      <c r="N139" s="91">
        <f>IF(M139="","No List Price",IF(M139&lt;=0,"At/below price",IF(M139&lt;=0.12,"&lt;=12% STR zone",IF(M139&lt;=0.25,"12-25%","&gt;25% over"))))</f>
        <v/>
      </c>
      <c r="O139" s="89" t="n">
        <v>80.69429159318052</v>
      </c>
      <c r="P139" s="92">
        <f>IF(AND(ISNUMBER(K139),ISNUMBER(O139),N(O139)&gt;0),K139/O139-1,"")</f>
        <v/>
      </c>
      <c r="Q139" s="32" t="inlineStr">
        <is>
          <t>vs our blended price (Command Center, Mar 2026 - STALE)</t>
        </is>
      </c>
      <c r="R139" s="88" t="n">
        <v>16154</v>
      </c>
      <c r="S139" s="88" t="n">
        <v>35</v>
      </c>
      <c r="T139" s="93">
        <f>IF(AND(ISNUMBER(K139),ISNUMBER(S139)),K139*S139*52/12,"")</f>
        <v/>
      </c>
      <c r="U139" s="94" t="n">
        <v>4.4</v>
      </c>
      <c r="V139" s="88" t="n">
        <v>3371</v>
      </c>
      <c r="W139" s="95" t="n">
        <v>46307</v>
      </c>
      <c r="X139" s="95" t="n">
        <v>44922</v>
      </c>
      <c r="Y139" s="86" t="inlineStr">
        <is>
          <t>FBA</t>
        </is>
      </c>
      <c r="Z139" s="86" t="inlineStr">
        <is>
          <t>TH</t>
        </is>
      </c>
      <c r="AA139" s="88" t="n">
        <v>76017</v>
      </c>
      <c r="AB139" s="88" t="n">
        <v>1577</v>
      </c>
      <c r="AC139" s="96" t="n">
        <v>0.8206756843863878</v>
      </c>
      <c r="AD139" s="96" t="n">
        <v>0.1793245681886948</v>
      </c>
      <c r="AE139" s="32" t="inlineStr">
        <is>
          <t>bamboo sheets</t>
        </is>
      </c>
      <c r="AF139" s="96" t="n">
        <v>0.9048633858215925</v>
      </c>
      <c r="AG139" s="96" t="n">
        <v>0.08220529618374837</v>
      </c>
      <c r="AH139" s="96" t="n">
        <v>0.8497046713235198</v>
      </c>
      <c r="AI139" s="96" t="n">
        <v>0.03862293960561453</v>
      </c>
      <c r="AJ139" s="88" t="n">
        <v>712</v>
      </c>
      <c r="AK139" s="88" t="n">
        <v>370</v>
      </c>
      <c r="AL139" s="88" t="n">
        <v>210</v>
      </c>
      <c r="AM139" s="88" t="n">
        <v>865</v>
      </c>
      <c r="AN139" s="88" t="n">
        <v>240</v>
      </c>
      <c r="AO139" s="88" t="n">
        <v>51</v>
      </c>
      <c r="AP139" s="97" t="n"/>
      <c r="AQ139" s="92" t="n"/>
      <c r="AR139" s="98" t="inlineStr">
        <is>
          <t>N</t>
        </is>
      </c>
      <c r="AS139" s="98" t="inlineStr">
        <is>
          <t>none</t>
        </is>
      </c>
      <c r="AT139" s="104" t="n"/>
      <c r="AU139" s="99" t="n">
        <v>109</v>
      </c>
      <c r="AV139" s="98" t="inlineStr">
        <is>
          <t>none</t>
        </is>
      </c>
      <c r="AW139" s="98" t="inlineStr">
        <is>
          <t>Y</t>
        </is>
      </c>
      <c r="AX139" s="98" t="inlineStr">
        <is>
          <t>2026-10-13 12:10:51</t>
        </is>
      </c>
      <c r="AY139" s="100" t="inlineStr">
        <is>
          <t>Price cut only</t>
        </is>
      </c>
      <c r="AZ139" s="100" t="inlineStr">
        <is>
          <t>11-20 to 12-01</t>
        </is>
      </c>
      <c r="BA139" s="101" t="n">
        <v>105</v>
      </c>
      <c r="BB139" s="101" t="n">
        <v>84</v>
      </c>
      <c r="BC139" s="90">
        <f>IF(AND(ISNUMBER(BA139),ISNUMBER(BB139),N(BA139)&gt;0),1-BB139/BA139,"")</f>
        <v/>
      </c>
      <c r="BD139" s="102" t="n">
        <v>20103</v>
      </c>
      <c r="BE139" s="102" t="n">
        <v>13630</v>
      </c>
      <c r="BF139" s="103">
        <f>IF(AND(ISNUMBER(BD139),ISNUMBER(BE139),N(BE139)&gt;0),BD139/BE139,"")</f>
        <v/>
      </c>
      <c r="BG139" s="100" t="inlineStr">
        <is>
          <t>N</t>
        </is>
      </c>
      <c r="BH139" s="100" t="inlineStr">
        <is>
          <t>Lightning Deal 11-09 to 11-09; Coupon 10.00 USD, 20.00 USD (11-02 to 11-18); List Price $105.00</t>
        </is>
      </c>
    </row>
    <row r="140" ht="62" customHeight="1">
      <c r="A140" s="10">
        <f>_xlfn.IMAGE("https://images-na.ssl-images-amazon.com/images/I/71rcYip7GcL.jpg")</f>
        <v/>
      </c>
      <c r="B140" s="86" t="inlineStr">
        <is>
          <t>KARISSA MAE</t>
        </is>
      </c>
      <c r="C140" s="32" t="inlineStr">
        <is>
          <t>Cooling Sheets</t>
        </is>
      </c>
      <c r="D140" s="86" t="inlineStr">
        <is>
          <t>Beatable</t>
        </is>
      </c>
      <c r="E140" s="87" t="inlineStr">
        <is>
          <t>B0GT172Y8L</t>
        </is>
      </c>
      <c r="F140" s="87" t="inlineStr">
        <is>
          <t>B0G1CSCQTB</t>
        </is>
      </c>
      <c r="G140" s="86" t="inlineStr">
        <is>
          <t>King - 2 Pillowcases</t>
        </is>
      </c>
      <c r="H140" s="86" t="inlineStr">
        <is>
          <t>10 - Mocha</t>
        </is>
      </c>
      <c r="I140" s="88" t="n">
        <v>138</v>
      </c>
      <c r="J140" s="32" t="inlineStr">
        <is>
          <t>B0F9X7MV5B (14%), B0G1CSCQTB (10%), B0F9X8BNQB (7%), B0F9X6KTQW (6%), B0GH24C6XY (6%)</t>
        </is>
      </c>
      <c r="K140" s="89" t="n">
        <v>119.99</v>
      </c>
      <c r="L140" s="89" t="n"/>
      <c r="M140" s="90">
        <f>IF(AND(ISNUMBER(L140),ISNUMBER(K140),N(K140)&gt;0),L140/K140-1,"")</f>
        <v/>
      </c>
      <c r="N140" s="91">
        <f>IF(M140="","No List Price",IF(M140&lt;=0,"At/below price",IF(M140&lt;=0.12,"&lt;=12% STR zone",IF(M140&lt;=0.25,"12-25%","&gt;25% over"))))</f>
        <v/>
      </c>
      <c r="O140" s="89" t="n">
        <v>80.69429159318052</v>
      </c>
      <c r="P140" s="92">
        <f>IF(AND(ISNUMBER(K140),ISNUMBER(O140),N(O140)&gt;0),K140/O140-1,"")</f>
        <v/>
      </c>
      <c r="Q140" s="32" t="inlineStr">
        <is>
          <t>vs our blended price (Command Center, Mar 2026 - STALE)</t>
        </is>
      </c>
      <c r="R140" s="88" t="n">
        <v>15914</v>
      </c>
      <c r="S140" s="88" t="n">
        <v>35</v>
      </c>
      <c r="T140" s="93">
        <f>IF(AND(ISNUMBER(K140),ISNUMBER(S140)),K140*S140*52/12,"")</f>
        <v/>
      </c>
      <c r="U140" s="94" t="n">
        <v>4.3</v>
      </c>
      <c r="V140" s="88" t="n">
        <v>474</v>
      </c>
      <c r="W140" s="95" t="n">
        <v>46307</v>
      </c>
      <c r="X140" s="95" t="n"/>
      <c r="Y140" s="86" t="n"/>
      <c r="Z140" s="86" t="n"/>
      <c r="AA140" s="88" t="n">
        <v>243610</v>
      </c>
      <c r="AB140" s="88" t="n">
        <v>3715</v>
      </c>
      <c r="AC140" s="96" t="n">
        <v>0.1385290000410493</v>
      </c>
      <c r="AD140" s="96" t="n">
        <v>0.8614710525019491</v>
      </c>
      <c r="AE140" s="32" t="inlineStr">
        <is>
          <t>bamboo sheets</t>
        </is>
      </c>
      <c r="AF140" s="96" t="n">
        <v>0.9938303025327367</v>
      </c>
      <c r="AG140" s="96" t="n">
        <v>0.0306883953860679</v>
      </c>
      <c r="AH140" s="96" t="n">
        <v>0.01590657197980378</v>
      </c>
      <c r="AI140" s="96" t="n"/>
      <c r="AJ140" s="88" t="n">
        <v>1360</v>
      </c>
      <c r="AK140" s="88" t="n">
        <v>540</v>
      </c>
      <c r="AL140" s="88" t="n">
        <v>586</v>
      </c>
      <c r="AM140" s="88" t="n">
        <v>2355</v>
      </c>
      <c r="AN140" s="88" t="n">
        <v>1381</v>
      </c>
      <c r="AO140" s="88" t="n">
        <v>178</v>
      </c>
      <c r="AP140" s="97" t="n">
        <v>2.102564102564103</v>
      </c>
      <c r="AQ140" s="92" t="n">
        <v>-0.8771186440677966</v>
      </c>
      <c r="AR140" s="98" t="inlineStr">
        <is>
          <t>N</t>
        </is>
      </c>
      <c r="AS140" s="98" t="inlineStr">
        <is>
          <t>none</t>
        </is>
      </c>
      <c r="AT140" s="104" t="n"/>
      <c r="AU140" s="99" t="n">
        <v>119.99</v>
      </c>
      <c r="AV140" s="98" t="inlineStr">
        <is>
          <t>none</t>
        </is>
      </c>
      <c r="AW140" s="98" t="inlineStr">
        <is>
          <t>Y</t>
        </is>
      </c>
      <c r="AX140" s="98" t="inlineStr">
        <is>
          <t>2026-10-13 12:10:57</t>
        </is>
      </c>
      <c r="AY140" s="105" t="n"/>
      <c r="AZ140" s="105" t="n"/>
      <c r="BA140" s="104" t="n"/>
      <c r="BB140" s="104" t="n"/>
      <c r="BC140" s="90">
        <f>IF(AND(ISNUMBER(BA140),ISNUMBER(BB140),N(BA140)&gt;0),1-BB140/BA140,"")</f>
        <v/>
      </c>
      <c r="BD140" s="106" t="n"/>
      <c r="BE140" s="106" t="n"/>
      <c r="BF140" s="103">
        <f>IF(AND(ISNUMBER(BD140),ISNUMBER(BE140),N(BE140)&gt;0),BD140/BE140,"")</f>
        <v/>
      </c>
      <c r="BG140" s="105" t="n"/>
      <c r="BH140" s="100" t="inlineStr">
        <is>
          <t>No Buy Box history in Keepa for BFCM 2025</t>
        </is>
      </c>
    </row>
    <row r="141" ht="62" customHeight="1">
      <c r="A141" s="10">
        <f>_xlfn.IMAGE("https://m.media-amazon.com/images/I/71vDRpdS5DL._AC_SL1500_.jpg")</f>
        <v/>
      </c>
      <c r="B141" s="86" t="inlineStr">
        <is>
          <t>Pillcase</t>
        </is>
      </c>
      <c r="C141" s="32" t="inlineStr">
        <is>
          <t>100% Real Bamboo Viscose &amp; Lyocell Tencel Sheets Set Queen Size | Breathable &amp; C</t>
        </is>
      </c>
      <c r="D141" s="86" t="inlineStr">
        <is>
          <t>Beatable</t>
        </is>
      </c>
      <c r="E141" s="87" t="inlineStr">
        <is>
          <t>B0H1GGHHVN</t>
        </is>
      </c>
      <c r="F141" s="87" t="inlineStr">
        <is>
          <t>B0HFZQRXXQ</t>
        </is>
      </c>
      <c r="G141" s="86" t="inlineStr">
        <is>
          <t>Queen</t>
        </is>
      </c>
      <c r="H141" s="86" t="inlineStr">
        <is>
          <t>French Blue</t>
        </is>
      </c>
      <c r="I141" s="88" t="n">
        <v>20</v>
      </c>
      <c r="J141" s="32" t="inlineStr">
        <is>
          <t>B0H9K6WK34 (27%), B0H1GVML4Z (24%), B0HFXGSDF1 (22%), B0HBX793L8 (12%)</t>
        </is>
      </c>
      <c r="K141" s="89" t="n">
        <v>79</v>
      </c>
      <c r="L141" s="89" t="n">
        <v>109</v>
      </c>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15 children</t>
        </is>
      </c>
      <c r="R141" s="88" t="n">
        <v>28003</v>
      </c>
      <c r="S141" s="88" t="n">
        <v>35</v>
      </c>
      <c r="T141" s="93">
        <f>IF(AND(ISNUMBER(K141),ISNUMBER(S141)),K141*S141*52/12,"")</f>
        <v/>
      </c>
      <c r="U141" s="94" t="n">
        <v>4.8</v>
      </c>
      <c r="V141" s="88" t="n">
        <v>279</v>
      </c>
      <c r="W141" s="95" t="n">
        <v>46307</v>
      </c>
      <c r="X141" s="95" t="n"/>
      <c r="Y141" s="86" t="n"/>
      <c r="Z141" s="86" t="n"/>
      <c r="AA141" s="88" t="n">
        <v>216953</v>
      </c>
      <c r="AB141" s="88" t="n">
        <v>1218</v>
      </c>
      <c r="AC141" s="96" t="n">
        <v>0.9703615419007803</v>
      </c>
      <c r="AD141" s="96" t="n">
        <v>0.02963845809921965</v>
      </c>
      <c r="AE141" s="32" t="inlineStr">
        <is>
          <t>king size sheets set</t>
        </is>
      </c>
      <c r="AF141" s="96" t="n">
        <v>0.1820394278945209</v>
      </c>
      <c r="AG141" s="96" t="n"/>
      <c r="AH141" s="96" t="n"/>
      <c r="AI141" s="96" t="n">
        <v>0.01302125345120833</v>
      </c>
      <c r="AJ141" s="88" t="n">
        <v>775</v>
      </c>
      <c r="AK141" s="88" t="n">
        <v>181</v>
      </c>
      <c r="AL141" s="88" t="n">
        <v>516</v>
      </c>
      <c r="AM141" s="88" t="n">
        <v>443</v>
      </c>
      <c r="AN141" s="88" t="n">
        <v>11</v>
      </c>
      <c r="AO141" s="88" t="n">
        <v>4</v>
      </c>
      <c r="AP141" s="97" t="n"/>
      <c r="AQ141" s="92" t="n"/>
      <c r="AR141" s="98" t="inlineStr">
        <is>
          <t>Y</t>
        </is>
      </c>
      <c r="AS141" s="98" t="inlineStr">
        <is>
          <t>List Price</t>
        </is>
      </c>
      <c r="AT141" s="99" t="n">
        <v>109</v>
      </c>
      <c r="AU141" s="99" t="n">
        <v>79</v>
      </c>
      <c r="AV141" s="98" t="inlineStr">
        <is>
          <t>none</t>
        </is>
      </c>
      <c r="AW141" s="98" t="inlineStr">
        <is>
          <t>Y</t>
        </is>
      </c>
      <c r="AX141" s="98" t="inlineStr">
        <is>
          <t>2026-10-13 12:11:07</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_xlfn.IMAGE("https://m.media-amazon.com/images/I/71sMGbbi-RL._AC_SL1500_.jpg")</f>
        <v/>
      </c>
      <c r="B142" s="86" t="inlineStr">
        <is>
          <t>Bamboo Bay</t>
        </is>
      </c>
      <c r="C142" s="32" t="inlineStr">
        <is>
          <t>Bamboo Bay 4 Piece Queen Size Sheet Set, 100% Viscose Made from Bamboo, Breathab</t>
        </is>
      </c>
      <c r="D142" s="86" t="inlineStr">
        <is>
          <t>Beatable</t>
        </is>
      </c>
      <c r="E142" s="87" t="inlineStr">
        <is>
          <t>B0DLD8982V</t>
        </is>
      </c>
      <c r="F142" s="87" t="inlineStr">
        <is>
          <t>B08M9QK14J</t>
        </is>
      </c>
      <c r="G142" s="86" t="inlineStr">
        <is>
          <t>Queen</t>
        </is>
      </c>
      <c r="H142" s="86" t="inlineStr">
        <is>
          <t>01 - White</t>
        </is>
      </c>
      <c r="I142" s="88" t="n">
        <v>20</v>
      </c>
      <c r="J142" s="32" t="inlineStr">
        <is>
          <t>B08M9QK14J (86%)</t>
        </is>
      </c>
      <c r="K142" s="89" t="n">
        <v>89.98</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15 children</t>
        </is>
      </c>
      <c r="R142" s="88" t="n">
        <v>263209</v>
      </c>
      <c r="S142" s="88" t="n">
        <v>18</v>
      </c>
      <c r="T142" s="93">
        <f>IF(AND(ISNUMBER(K142),ISNUMBER(S142)),K142*S142*52/12,"")</f>
        <v/>
      </c>
      <c r="U142" s="94" t="n">
        <v>4.4</v>
      </c>
      <c r="V142" s="88" t="n">
        <v>739</v>
      </c>
      <c r="W142" s="95" t="n">
        <v>46307</v>
      </c>
      <c r="X142" s="95" t="n"/>
      <c r="Y142" s="86" t="n"/>
      <c r="Z142" s="86" t="n"/>
      <c r="AA142" s="88" t="n">
        <v>67928</v>
      </c>
      <c r="AB142" s="88" t="n">
        <v>1037</v>
      </c>
      <c r="AC142" s="96" t="n">
        <v>0.313496176834295</v>
      </c>
      <c r="AD142" s="96" t="n">
        <v>0.6865047653397713</v>
      </c>
      <c r="AE142" s="32" t="inlineStr">
        <is>
          <t>bamboo sheets</t>
        </is>
      </c>
      <c r="AF142" s="96" t="n">
        <v>0.9942144623719232</v>
      </c>
      <c r="AG142" s="96" t="n"/>
      <c r="AH142" s="96" t="n"/>
      <c r="AI142" s="96" t="n"/>
      <c r="AJ142" s="88" t="n">
        <v>520</v>
      </c>
      <c r="AK142" s="88" t="n">
        <v>269</v>
      </c>
      <c r="AL142" s="88" t="n">
        <v>172</v>
      </c>
      <c r="AM142" s="88" t="n">
        <v>517</v>
      </c>
      <c r="AN142" s="88" t="n">
        <v>320</v>
      </c>
      <c r="AO142" s="88" t="n">
        <v>98</v>
      </c>
      <c r="AP142" s="97" t="n">
        <v>0.7336182336182336</v>
      </c>
      <c r="AQ142" s="92" t="n">
        <v>-0.2877906976744186</v>
      </c>
      <c r="AR142" s="98" t="inlineStr">
        <is>
          <t>N</t>
        </is>
      </c>
      <c r="AS142" s="98" t="inlineStr">
        <is>
          <t>none</t>
        </is>
      </c>
      <c r="AT142" s="104" t="n"/>
      <c r="AU142" s="99" t="n">
        <v>89.98</v>
      </c>
      <c r="AV142" s="98" t="inlineStr">
        <is>
          <t>none</t>
        </is>
      </c>
      <c r="AW142" s="98" t="inlineStr">
        <is>
          <t>Y</t>
        </is>
      </c>
      <c r="AX142" s="98" t="inlineStr">
        <is>
          <t>2026-10-13 12:10:31</t>
        </is>
      </c>
      <c r="AY142" s="100" t="inlineStr">
        <is>
          <t>None</t>
        </is>
      </c>
      <c r="AZ142" s="105" t="n"/>
      <c r="BA142" s="101" t="n">
        <v>64.98999999999999</v>
      </c>
      <c r="BB142" s="101" t="n">
        <v>99.98</v>
      </c>
      <c r="BC142" s="90">
        <f>IF(AND(ISNUMBER(BA142),ISNUMBER(BB142),N(BA142)&gt;0),1-BB142/BA142,"")</f>
        <v/>
      </c>
      <c r="BD142" s="102" t="n">
        <v>136345</v>
      </c>
      <c r="BE142" s="102" t="n">
        <v>252933</v>
      </c>
      <c r="BF142" s="103">
        <f>IF(AND(ISNUMBER(BD142),ISNUMBER(BE142),N(BE142)&gt;0),BD142/BE142,"")</f>
        <v/>
      </c>
      <c r="BG142" s="100" t="inlineStr">
        <is>
          <t>N</t>
        </is>
      </c>
      <c r="BH142" s="100" t="inlineStr">
        <is>
          <t>Buy Box RAISED in BFCM week (median $99.98 vs $64.99 before); List Price $129.98</t>
        </is>
      </c>
    </row>
    <row r="143" ht="62" customHeight="1">
      <c r="A143" s="10">
        <f>_xlfn.IMAGE("https://m.media-amazon.com/images/I/71MnWA4xzHL._AC_SL1500_.jpg")</f>
        <v/>
      </c>
      <c r="B143" s="86" t="inlineStr">
        <is>
          <t>California Design Den</t>
        </is>
      </c>
      <c r="C143" s="32" t="inlineStr">
        <is>
          <t>California Design Den 100% Viscose from Bamboo Sheets Queen, Dark Olive</t>
        </is>
      </c>
      <c r="D143" s="86" t="inlineStr">
        <is>
          <t>Beatable</t>
        </is>
      </c>
      <c r="E143" s="87" t="inlineStr">
        <is>
          <t>B0HFBJPD56</t>
        </is>
      </c>
      <c r="F143" s="87" t="inlineStr">
        <is>
          <t>B0GWHPJ9SD</t>
        </is>
      </c>
      <c r="G143" s="86" t="inlineStr">
        <is>
          <t>Queen</t>
        </is>
      </c>
      <c r="H143" s="86" t="inlineStr">
        <is>
          <t>Bright White</t>
        </is>
      </c>
      <c r="I143" s="88" t="n">
        <v>81</v>
      </c>
      <c r="J143" s="32" t="inlineStr">
        <is>
          <t>B0GWHFGLVL (32%), B0GWHPJ9SD (10%), B0GWHMSZYL (8%), B0GWHGS5BM (5%), B0GWHCHY3Q (5%)</t>
        </is>
      </c>
      <c r="K143" s="89" t="n">
        <v>89.98999999999999</v>
      </c>
      <c r="L143" s="89" t="n"/>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15 children</t>
        </is>
      </c>
      <c r="R143" s="88" t="n">
        <v>21237</v>
      </c>
      <c r="S143" s="88" t="n">
        <v>18</v>
      </c>
      <c r="T143" s="93">
        <f>IF(AND(ISNUMBER(K143),ISNUMBER(S143)),K143*S143*52/12,"")</f>
        <v/>
      </c>
      <c r="U143" s="94" t="n">
        <v>4.6</v>
      </c>
      <c r="V143" s="88" t="n">
        <v>76</v>
      </c>
      <c r="W143" s="95" t="n">
        <v>46307</v>
      </c>
      <c r="X143" s="95" t="n"/>
      <c r="Y143" s="86" t="n"/>
      <c r="Z143" s="86" t="n"/>
      <c r="AA143" s="88" t="n">
        <v>103642</v>
      </c>
      <c r="AB143" s="88" t="n">
        <v>2019</v>
      </c>
      <c r="AC143" s="96" t="n">
        <v>0.8956907055054905</v>
      </c>
      <c r="AD143" s="96" t="n">
        <v>0.1043093871210513</v>
      </c>
      <c r="AE143" s="32" t="inlineStr">
        <is>
          <t>bamboo sheets</t>
        </is>
      </c>
      <c r="AF143" s="96" t="n">
        <v>0.6944674938731402</v>
      </c>
      <c r="AG143" s="96" t="n"/>
      <c r="AH143" s="96" t="n"/>
      <c r="AI143" s="96" t="n"/>
      <c r="AJ143" s="88" t="n">
        <v>911</v>
      </c>
      <c r="AK143" s="88" t="n">
        <v>288</v>
      </c>
      <c r="AL143" s="88" t="n">
        <v>515</v>
      </c>
      <c r="AM143" s="88" t="n">
        <v>1108</v>
      </c>
      <c r="AN143" s="88" t="n">
        <v>192</v>
      </c>
      <c r="AO143" s="88" t="n">
        <v>28</v>
      </c>
      <c r="AP143" s="97" t="n"/>
      <c r="AQ143" s="92" t="n"/>
      <c r="AR143" s="98" t="inlineStr">
        <is>
          <t>N</t>
        </is>
      </c>
      <c r="AS143" s="98" t="inlineStr">
        <is>
          <t>none</t>
        </is>
      </c>
      <c r="AT143" s="104" t="n"/>
      <c r="AU143" s="99" t="n">
        <v>89.98999999999999</v>
      </c>
      <c r="AV143" s="98" t="inlineStr">
        <is>
          <t>none</t>
        </is>
      </c>
      <c r="AW143" s="98" t="inlineStr">
        <is>
          <t>Y</t>
        </is>
      </c>
      <c r="AX143" s="98" t="inlineStr">
        <is>
          <t>2026-10-13 12:10:41</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_xlfn.IMAGE("https://m.media-amazon.com/images/I/71F9T6wfwRL._AC_SL1500_.jpg")</f>
        <v/>
      </c>
      <c r="B144" s="86" t="inlineStr">
        <is>
          <t>Pillcase</t>
        </is>
      </c>
      <c r="C144" s="32" t="inlineStr">
        <is>
          <t>100% Real Bamboo Viscose &amp; Lyocell Tencel Sheets Set Queen Size | Breathable &amp; C</t>
        </is>
      </c>
      <c r="D144" s="86" t="inlineStr">
        <is>
          <t>Beatable</t>
        </is>
      </c>
      <c r="E144" s="87" t="inlineStr">
        <is>
          <t>B0HK71WHZW</t>
        </is>
      </c>
      <c r="F144" s="87" t="inlineStr">
        <is>
          <t>B0H1BWY4MD</t>
        </is>
      </c>
      <c r="G144" s="86" t="inlineStr">
        <is>
          <t>Queen</t>
        </is>
      </c>
      <c r="H144" s="86" t="inlineStr">
        <is>
          <t>Charcoal</t>
        </is>
      </c>
      <c r="I144" s="88" t="n">
        <v>22</v>
      </c>
      <c r="J144" s="32" t="inlineStr">
        <is>
          <t>B0HBXCGQM1 (57%), B0HF8HHN46 (7%), B0HBXK2Y4B (5%), B0H1BWY4MD (5%), B0H28FT5DH (4%)</t>
        </is>
      </c>
      <c r="K144" s="89" t="n">
        <v>79</v>
      </c>
      <c r="L144" s="89" t="n"/>
      <c r="M144" s="90">
        <f>IF(AND(ISNUMBER(L144),ISNUMBER(K144),N(K144)&gt;0),L144/K144-1,"")</f>
        <v/>
      </c>
      <c r="N144" s="91">
        <f>IF(M144="","No List Price",IF(M144&lt;=0,"At/below price",IF(M144&lt;=0.12,"&lt;=12% STR zone",IF(M144&lt;=0.25,"12-25%","&gt;25% over"))))</f>
        <v/>
      </c>
      <c r="O144" s="89" t="n">
        <v>89.98999999999999</v>
      </c>
      <c r="P144" s="92">
        <f>IF(AND(ISNUMBER(K144),ISNUMBER(O144),N(O144)&gt;0),K144/O144-1,"")</f>
        <v/>
      </c>
      <c r="Q144" s="32" t="inlineStr">
        <is>
          <t>Same size (Queen). Ours live: Helium 10 Xray, 2026-10-13; 15 children</t>
        </is>
      </c>
      <c r="R144" s="88" t="n">
        <v>38116</v>
      </c>
      <c r="S144" s="88" t="n">
        <v>18</v>
      </c>
      <c r="T144" s="93">
        <f>IF(AND(ISNUMBER(K144),ISNUMBER(S144)),K144*S144*52/12,"")</f>
        <v/>
      </c>
      <c r="U144" s="94" t="n">
        <v>4.9</v>
      </c>
      <c r="V144" s="88" t="n">
        <v>201</v>
      </c>
      <c r="W144" s="95" t="n">
        <v>46307</v>
      </c>
      <c r="X144" s="95" t="n"/>
      <c r="Y144" s="86" t="n"/>
      <c r="Z144" s="86" t="n"/>
      <c r="AA144" s="88" t="n">
        <v>116001</v>
      </c>
      <c r="AB144" s="88" t="n">
        <v>1002</v>
      </c>
      <c r="AC144" s="96" t="n">
        <v>0.8987684407893036</v>
      </c>
      <c r="AD144" s="96" t="n">
        <v>0.1012329385091508</v>
      </c>
      <c r="AE144" s="32" t="inlineStr">
        <is>
          <t>bamboo sheets</t>
        </is>
      </c>
      <c r="AF144" s="96" t="n">
        <v>0.5789691468176998</v>
      </c>
      <c r="AG144" s="96" t="n"/>
      <c r="AH144" s="96" t="n"/>
      <c r="AI144" s="96" t="n">
        <v>0.01296540547064249</v>
      </c>
      <c r="AJ144" s="88" t="n">
        <v>657</v>
      </c>
      <c r="AK144" s="88" t="n">
        <v>241</v>
      </c>
      <c r="AL144" s="88" t="n">
        <v>361</v>
      </c>
      <c r="AM144" s="88" t="n">
        <v>345</v>
      </c>
      <c r="AN144" s="88" t="n">
        <v>48</v>
      </c>
      <c r="AO144" s="88" t="n">
        <v>15</v>
      </c>
      <c r="AP144" s="97" t="n"/>
      <c r="AQ144" s="92" t="n"/>
      <c r="AR144" s="98" t="inlineStr">
        <is>
          <t>Y</t>
        </is>
      </c>
      <c r="AS144" s="98" t="inlineStr">
        <is>
          <t>List Price</t>
        </is>
      </c>
      <c r="AT144" s="99" t="n">
        <v>99</v>
      </c>
      <c r="AU144" s="99" t="n">
        <v>79</v>
      </c>
      <c r="AV144" s="98" t="inlineStr">
        <is>
          <t>none</t>
        </is>
      </c>
      <c r="AW144" s="98" t="inlineStr">
        <is>
          <t>Y</t>
        </is>
      </c>
      <c r="AX144" s="98" t="inlineStr">
        <is>
          <t>2026-10-13 12:11:10</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_xlfn.IMAGE("https://images-na.ssl-images-amazon.com/images/I/71X+0TBtodL.jpg")</f>
        <v/>
      </c>
      <c r="B145" s="86" t="inlineStr">
        <is>
          <t>TWK</t>
        </is>
      </c>
      <c r="C145" s="32" t="inlineStr">
        <is>
          <t>TWK Real 100% Viscose Derived from Bamboo Sheets Set Queen Size, Cooling &amp; Silky</t>
        </is>
      </c>
      <c r="D145" s="86" t="inlineStr">
        <is>
          <t>Beatable</t>
        </is>
      </c>
      <c r="E145" s="87" t="inlineStr">
        <is>
          <t>B0HHQG3RSW</t>
        </is>
      </c>
      <c r="F145" s="87" t="inlineStr">
        <is>
          <t>B0G1N8QS55</t>
        </is>
      </c>
      <c r="G145" s="86" t="inlineStr">
        <is>
          <t>Queen</t>
        </is>
      </c>
      <c r="H145" s="86" t="inlineStr">
        <is>
          <t>Sand</t>
        </is>
      </c>
      <c r="I145" s="88" t="n">
        <v>13</v>
      </c>
      <c r="J145" s="32" t="inlineStr">
        <is>
          <t>B0G1N23HZ1 (41%), B0H35S6VLR (32%), B0G1N8QS55 (18%)</t>
        </is>
      </c>
      <c r="K145" s="89" t="n">
        <v>65</v>
      </c>
      <c r="L145" s="89" t="n">
        <v>79</v>
      </c>
      <c r="M145" s="90">
        <f>IF(AND(ISNUMBER(L145),ISNUMBER(K145),N(K145)&gt;0),L145/K145-1,"")</f>
        <v/>
      </c>
      <c r="N145" s="91">
        <f>IF(M145="","No List Price",IF(M145&lt;=0,"At/below price",IF(M145&lt;=0.12,"&lt;=12% STR zone",IF(M145&lt;=0.25,"12-25%","&gt;25% over"))))</f>
        <v/>
      </c>
      <c r="O145" s="89" t="n">
        <v>89.98999999999999</v>
      </c>
      <c r="P145" s="92">
        <f>IF(AND(ISNUMBER(K145),ISNUMBER(O145),N(O145)&gt;0),K145/O145-1,"")</f>
        <v/>
      </c>
      <c r="Q145" s="32" t="inlineStr">
        <is>
          <t>Same size (Queen). Ours live: Helium 10 Xray, 2026-10-13; 15 children</t>
        </is>
      </c>
      <c r="R145" s="88" t="n">
        <v>196488</v>
      </c>
      <c r="S145" s="88" t="n">
        <v>18</v>
      </c>
      <c r="T145" s="93">
        <f>IF(AND(ISNUMBER(K145),ISNUMBER(S145)),K145*S145*52/12,"")</f>
        <v/>
      </c>
      <c r="U145" s="94" t="n">
        <v>4.9</v>
      </c>
      <c r="V145" s="88" t="n">
        <v>121</v>
      </c>
      <c r="W145" s="95" t="n">
        <v>46307</v>
      </c>
      <c r="X145" s="95" t="n"/>
      <c r="Y145" s="86" t="n"/>
      <c r="Z145" s="86" t="n"/>
      <c r="AA145" s="88" t="n">
        <v>82471</v>
      </c>
      <c r="AB145" s="88" t="n">
        <v>905</v>
      </c>
      <c r="AC145" s="96" t="n">
        <v>0.8861114561482216</v>
      </c>
      <c r="AD145" s="96" t="n">
        <v>0.1138885438517783</v>
      </c>
      <c r="AE145" s="32" t="inlineStr">
        <is>
          <t>bamboo sheets</t>
        </is>
      </c>
      <c r="AF145" s="96" t="n">
        <v>0.5572868038462004</v>
      </c>
      <c r="AG145" s="96" t="n"/>
      <c r="AH145" s="96" t="n"/>
      <c r="AI145" s="96" t="n"/>
      <c r="AJ145" s="88" t="n">
        <v>642</v>
      </c>
      <c r="AK145" s="88" t="n">
        <v>247</v>
      </c>
      <c r="AL145" s="88" t="n">
        <v>326</v>
      </c>
      <c r="AM145" s="88" t="n">
        <v>263</v>
      </c>
      <c r="AN145" s="88" t="n">
        <v>43</v>
      </c>
      <c r="AO145" s="88" t="n">
        <v>15</v>
      </c>
      <c r="AP145" s="97" t="n"/>
      <c r="AQ145" s="92" t="n"/>
      <c r="AR145" s="98" t="inlineStr">
        <is>
          <t>Y</t>
        </is>
      </c>
      <c r="AS145" s="98" t="inlineStr">
        <is>
          <t>Typical price</t>
        </is>
      </c>
      <c r="AT145" s="99" t="n">
        <v>79</v>
      </c>
      <c r="AU145" s="99" t="n">
        <v>65</v>
      </c>
      <c r="AV145" s="98" t="inlineStr">
        <is>
          <t>none</t>
        </is>
      </c>
      <c r="AW145" s="98" t="inlineStr">
        <is>
          <t>Y</t>
        </is>
      </c>
      <c r="AX145" s="98" t="inlineStr">
        <is>
          <t>2026-10-13 12:11:35</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_xlfn.IMAGE("https://m.media-amazon.com/images/I/61A6QLdfwQL._AC_SL1500_.jpg")</f>
        <v/>
      </c>
      <c r="B146" s="86" t="inlineStr">
        <is>
          <t>BAMPURE</t>
        </is>
      </c>
      <c r="C146" s="32" t="inlineStr">
        <is>
          <t>Bamboo Sheets</t>
        </is>
      </c>
      <c r="D146" s="86" t="inlineStr">
        <is>
          <t>Beatable</t>
        </is>
      </c>
      <c r="E146" s="87" t="inlineStr">
        <is>
          <t>B07XC2KVM7</t>
        </is>
      </c>
      <c r="F146" s="87" t="inlineStr">
        <is>
          <t>B07XC2KVM7</t>
        </is>
      </c>
      <c r="G146" s="86" t="inlineStr">
        <is>
          <t>Twin - 3 Pieces Set</t>
        </is>
      </c>
      <c r="H146" s="86" t="inlineStr">
        <is>
          <t>White</t>
        </is>
      </c>
      <c r="I146" s="88" t="n"/>
      <c r="J146" s="32" t="inlineStr"/>
      <c r="K146" s="89" t="n">
        <v>37.99</v>
      </c>
      <c r="L146" s="89" t="n"/>
      <c r="M146" s="90">
        <f>IF(AND(ISNUMBER(L146),ISNUMBER(K146),N(K146)&gt;0),L146/K146-1,"")</f>
        <v/>
      </c>
      <c r="N146" s="91">
        <f>IF(M146="","No List Price",IF(M146&lt;=0,"At/below price",IF(M146&lt;=0.12,"&lt;=12% STR zone",IF(M146&lt;=0.25,"12-25%","&gt;25% over"))))</f>
        <v/>
      </c>
      <c r="O146" s="89" t="n">
        <v>80.69429159318052</v>
      </c>
      <c r="P146" s="92">
        <f>IF(AND(ISNUMBER(K146),ISNUMBER(O146),N(O146)&gt;0),K146/O146-1,"")</f>
        <v/>
      </c>
      <c r="Q146" s="32" t="inlineStr">
        <is>
          <t>vs our blended price (Command Center, Mar 2026 - STALE)</t>
        </is>
      </c>
      <c r="R146" s="88" t="n">
        <v>2541068</v>
      </c>
      <c r="S146" s="88" t="n">
        <v>5</v>
      </c>
      <c r="T146" s="93">
        <f>IF(AND(ISNUMBER(K146),ISNUMBER(S146)),K146*S146*52/12,"")</f>
        <v/>
      </c>
      <c r="U146" s="94" t="n">
        <v>4.4</v>
      </c>
      <c r="V146" s="88" t="n">
        <v>30</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12:10:15</t>
        </is>
      </c>
      <c r="AY146" s="100" t="inlineStr">
        <is>
          <t>None</t>
        </is>
      </c>
      <c r="AZ146" s="105" t="n"/>
      <c r="BA146" s="101" t="n">
        <v>69.98999999999999</v>
      </c>
      <c r="BB146" s="101" t="n">
        <v>69.98999999999999</v>
      </c>
      <c r="BC146" s="90">
        <f>IF(AND(ISNUMBER(BA146),ISNUMBER(BB146),N(BA146)&gt;0),1-BB146/BA146,"")</f>
        <v/>
      </c>
      <c r="BD146" s="102" t="n">
        <v>31768</v>
      </c>
      <c r="BE146" s="102" t="n">
        <v>27950</v>
      </c>
      <c r="BF146" s="103">
        <f>IF(AND(ISNUMBER(BD146),ISNUMBER(BE146),N(BE146)&gt;0),BD146/BE146,"")</f>
        <v/>
      </c>
      <c r="BG146" s="100" t="inlineStr">
        <is>
          <t>N</t>
        </is>
      </c>
      <c r="BH146" s="100" t="inlineStr">
        <is>
          <t>List Price $69.99</t>
        </is>
      </c>
    </row>
    <row r="147" ht="62" customHeight="1">
      <c r="A147" s="10">
        <f>_xlfn.IMAGE("https://m.media-amazon.com/images/I/81BvQVXWCLL._AC_SL1500_.jpg")</f>
        <v/>
      </c>
      <c r="B147" s="86" t="inlineStr">
        <is>
          <t>BC BELLA COTERIE</t>
        </is>
      </c>
      <c r="C147" s="32" t="inlineStr">
        <is>
          <t>4 Piece Bamboo Sheet Set</t>
        </is>
      </c>
      <c r="D147" s="86" t="inlineStr">
        <is>
          <t>Beatable</t>
        </is>
      </c>
      <c r="E147" s="87" t="inlineStr">
        <is>
          <t>B0H29V113N</t>
        </is>
      </c>
      <c r="F147" s="87" t="inlineStr">
        <is>
          <t>B0G674ZDTV</t>
        </is>
      </c>
      <c r="G147" s="86" t="inlineStr">
        <is>
          <t>Queen - 2 Pillowcases</t>
        </is>
      </c>
      <c r="H147" s="86" t="inlineStr">
        <is>
          <t>22 - Striped Dune</t>
        </is>
      </c>
      <c r="I147" s="88" t="n"/>
      <c r="J147" s="32" t="inlineStr"/>
      <c r="K147" s="89" t="n">
        <v>159.99</v>
      </c>
      <c r="L147" s="89" t="n"/>
      <c r="M147" s="90">
        <f>IF(AND(ISNUMBER(L147),ISNUMBER(K147),N(K147)&gt;0),L147/K147-1,"")</f>
        <v/>
      </c>
      <c r="N147" s="91">
        <f>IF(M147="","No List Price",IF(M147&lt;=0,"At/below price",IF(M147&lt;=0.12,"&lt;=12% STR zone",IF(M147&lt;=0.25,"12-25%","&gt;25% over"))))</f>
        <v/>
      </c>
      <c r="O147" s="89" t="n">
        <v>80.69429159318052</v>
      </c>
      <c r="P147" s="92">
        <f>IF(AND(ISNUMBER(K147),ISNUMBER(O147),N(O147)&gt;0),K147/O147-1,"")</f>
        <v/>
      </c>
      <c r="Q147" s="32" t="inlineStr">
        <is>
          <t>vs our blended price (Command Center, Mar 2026 - STALE)</t>
        </is>
      </c>
      <c r="R147" s="88" t="n">
        <v>1577</v>
      </c>
      <c r="S147" s="88" t="n">
        <v>5</v>
      </c>
      <c r="T147" s="93">
        <f>IF(AND(ISNUMBER(K147),ISNUMBER(S147)),K147*S147*52/12,"")</f>
        <v/>
      </c>
      <c r="U147" s="94" t="n">
        <v>4.4</v>
      </c>
      <c r="V147" s="88" t="n">
        <v>5652</v>
      </c>
      <c r="W147" s="95" t="n">
        <v>46223</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99" t="n">
        <v>159.99</v>
      </c>
      <c r="AV147" s="98" t="inlineStr">
        <is>
          <t>none</t>
        </is>
      </c>
      <c r="AW147" s="98" t="inlineStr">
        <is>
          <t>Y</t>
        </is>
      </c>
      <c r="AX147" s="98" t="inlineStr">
        <is>
          <t>2026-10-13 12:10:21</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_xlfn.IMAGE("https://m.media-amazon.com/images/I/61mi8zwd8GL._AC_SL1500_.jpg")</f>
        <v/>
      </c>
      <c r="B148" s="86" t="inlineStr">
        <is>
          <t>Pillcase</t>
        </is>
      </c>
      <c r="C148" s="32" t="inlineStr">
        <is>
          <t>Cooling Hotel Bedding Sheet Set - 4pcs Bamboo Viscose &amp; Tencel Blend, Moisture-W</t>
        </is>
      </c>
      <c r="D148" s="86" t="inlineStr">
        <is>
          <t>Beatable</t>
        </is>
      </c>
      <c r="E148" s="87" t="inlineStr">
        <is>
          <t>B0HJYG8V9Q</t>
        </is>
      </c>
      <c r="F148" s="87" t="inlineStr">
        <is>
          <t>B0HJYG8V9Q</t>
        </is>
      </c>
      <c r="G148" s="86" t="inlineStr">
        <is>
          <t>King</t>
        </is>
      </c>
      <c r="H148" s="86" t="inlineStr">
        <is>
          <t>Pearl White</t>
        </is>
      </c>
      <c r="I148" s="88" t="n">
        <v>1</v>
      </c>
      <c r="J148" s="32" t="inlineStr">
        <is>
          <t>B0HJYG8V9Q (100%)</t>
        </is>
      </c>
      <c r="K148" s="89" t="n">
        <v>79.98999999999999</v>
      </c>
      <c r="L148" s="89" t="n"/>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(King). Ours live: Helium 10 Xray, 2026-10-13; 15 children</t>
        </is>
      </c>
      <c r="R148" s="88" t="n">
        <v>762451</v>
      </c>
      <c r="S148" s="88" t="n">
        <v>5</v>
      </c>
      <c r="T148" s="93">
        <f>IF(AND(ISNUMBER(K148),ISNUMBER(S148)),K148*S148*52/12,"")</f>
        <v/>
      </c>
      <c r="U148" s="94" t="n">
        <v>4</v>
      </c>
      <c r="V148" s="88" t="n"/>
      <c r="W148" s="95" t="n">
        <v>46307</v>
      </c>
      <c r="X148" s="95" t="n"/>
      <c r="Y148" s="86" t="n"/>
      <c r="Z148" s="86" t="n"/>
      <c r="AA148" s="88" t="n">
        <v>57075</v>
      </c>
      <c r="AB148" s="88" t="n">
        <v>90</v>
      </c>
      <c r="AC148" s="96" t="n">
        <v>0.9991762628120894</v>
      </c>
      <c r="AD148" s="96" t="n">
        <v>0.0008237371879106438</v>
      </c>
      <c r="AE148" s="32" t="inlineStr">
        <is>
          <t>king size sheets set</t>
        </is>
      </c>
      <c r="AF148" s="96" t="n">
        <v>0.1639071397284275</v>
      </c>
      <c r="AG148" s="96" t="n"/>
      <c r="AH148" s="96" t="n"/>
      <c r="AI148" s="96" t="n"/>
      <c r="AJ148" s="88" t="n">
        <v>88</v>
      </c>
      <c r="AK148" s="88" t="n">
        <v>61</v>
      </c>
      <c r="AL148" s="88" t="n">
        <v>27</v>
      </c>
      <c r="AM148" s="88" t="n">
        <v>2</v>
      </c>
      <c r="AN148" s="88" t="n">
        <v>0</v>
      </c>
      <c r="AO148" s="88" t="n">
        <v>0</v>
      </c>
      <c r="AP148" s="97" t="n"/>
      <c r="AQ148" s="92" t="n"/>
      <c r="AR148" s="98" t="inlineStr">
        <is>
          <t>N</t>
        </is>
      </c>
      <c r="AS148" s="98" t="inlineStr">
        <is>
          <t>none</t>
        </is>
      </c>
      <c r="AT148" s="104" t="n"/>
      <c r="AU148" s="104" t="n"/>
      <c r="AV148" s="98" t="inlineStr">
        <is>
          <t>none</t>
        </is>
      </c>
      <c r="AW148" s="98" t="inlineStr">
        <is>
          <t>N</t>
        </is>
      </c>
      <c r="AX148" s="98" t="inlineStr">
        <is>
          <t>2026-10-13 12:11:13</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_xlfn.IMAGE("https://m.media-amazon.com/images/I/71-mwiI1N+L._AC_SL1500_.jpg")</f>
        <v/>
      </c>
      <c r="B149" s="86" t="inlineStr">
        <is>
          <t>Tafts</t>
        </is>
      </c>
      <c r="C149" s="32" t="inlineStr">
        <is>
          <t>Bamboo Sheets Queen Size, 100% Pure Viscose derived from Bamboo Bed Sheet Set, L</t>
        </is>
      </c>
      <c r="D149" s="86" t="inlineStr">
        <is>
          <t>Beatable</t>
        </is>
      </c>
      <c r="E149" s="87" t="inlineStr">
        <is>
          <t>B0D34K3FB9</t>
        </is>
      </c>
      <c r="F149" s="87" t="inlineStr">
        <is>
          <t>B07YSVNCVT</t>
        </is>
      </c>
      <c r="G149" s="86" t="inlineStr">
        <is>
          <t>Queen</t>
        </is>
      </c>
      <c r="H149" s="86" t="inlineStr">
        <is>
          <t>Nude Beige</t>
        </is>
      </c>
      <c r="I149" s="88" t="n">
        <v>23</v>
      </c>
      <c r="J149" s="32" t="inlineStr">
        <is>
          <t>B07YSW4HCT (83%)</t>
        </is>
      </c>
      <c r="K149" s="89" t="n">
        <v>104.99</v>
      </c>
      <c r="L149" s="89" t="n"/>
      <c r="M149" s="90">
        <f>IF(AND(ISNUMBER(L149),ISNUMBER(K149),N(K149)&gt;0),L149/K149-1,"")</f>
        <v/>
      </c>
      <c r="N149" s="91">
        <f>IF(M149="","No List Price",IF(M149&lt;=0,"At/below price",IF(M149&lt;=0.12,"&lt;=12% STR zone",IF(M149&lt;=0.25,"12-25%","&gt;25% over"))))</f>
        <v/>
      </c>
      <c r="O149" s="89" t="n">
        <v>89.98999999999999</v>
      </c>
      <c r="P149" s="92">
        <f>IF(AND(ISNUMBER(K149),ISNUMBER(O149),N(O149)&gt;0),K149/O149-1,"")</f>
        <v/>
      </c>
      <c r="Q149" s="32" t="inlineStr">
        <is>
          <t>Same size (Queen). Ours live: Helium 10 Xray, 2026-10-13; 15 children</t>
        </is>
      </c>
      <c r="R149" s="88" t="n">
        <v>184749</v>
      </c>
      <c r="S149" s="88" t="n">
        <v>5</v>
      </c>
      <c r="T149" s="93">
        <f>IF(AND(ISNUMBER(K149),ISNUMBER(S149)),K149*S149*52/12,"")</f>
        <v/>
      </c>
      <c r="U149" s="94" t="n">
        <v>4.5</v>
      </c>
      <c r="V149" s="88" t="n">
        <v>3184</v>
      </c>
      <c r="W149" s="95" t="n">
        <v>46307</v>
      </c>
      <c r="X149" s="95" t="n"/>
      <c r="Y149" s="86" t="n"/>
      <c r="Z149" s="86" t="n"/>
      <c r="AA149" s="88" t="n">
        <v>11787</v>
      </c>
      <c r="AB149" s="88" t="n">
        <v>302</v>
      </c>
      <c r="AC149" s="96" t="n">
        <v>0.9613189955035204</v>
      </c>
      <c r="AD149" s="96" t="n">
        <v>0.03868100449647917</v>
      </c>
      <c r="AE149" s="32" t="inlineStr">
        <is>
          <t>bamboo sheets</t>
        </is>
      </c>
      <c r="AF149" s="96" t="n">
        <v>0.8949690336811742</v>
      </c>
      <c r="AG149" s="96" t="n"/>
      <c r="AH149" s="96" t="n"/>
      <c r="AI149" s="96" t="n"/>
      <c r="AJ149" s="88" t="n">
        <v>235</v>
      </c>
      <c r="AK149" s="88" t="n">
        <v>163</v>
      </c>
      <c r="AL149" s="88" t="n">
        <v>39</v>
      </c>
      <c r="AM149" s="88" t="n">
        <v>67</v>
      </c>
      <c r="AN149" s="88" t="n">
        <v>17</v>
      </c>
      <c r="AO149" s="88" t="n">
        <v>6</v>
      </c>
      <c r="AP149" s="97" t="n"/>
      <c r="AQ149" s="92" t="n"/>
      <c r="AR149" s="98" t="inlineStr">
        <is>
          <t>N</t>
        </is>
      </c>
      <c r="AS149" s="98" t="inlineStr">
        <is>
          <t>none</t>
        </is>
      </c>
      <c r="AT149" s="104" t="n"/>
      <c r="AU149" s="99" t="n">
        <v>104.99</v>
      </c>
      <c r="AV149" s="98" t="inlineStr">
        <is>
          <t>none</t>
        </is>
      </c>
      <c r="AW149" s="98" t="inlineStr">
        <is>
          <t>Y</t>
        </is>
      </c>
      <c r="AX149" s="98" t="inlineStr">
        <is>
          <t>2026-10-13 12:14:21</t>
        </is>
      </c>
      <c r="AY149" s="100" t="inlineStr">
        <is>
          <t>Coupon only</t>
        </is>
      </c>
      <c r="AZ149" s="100" t="inlineStr">
        <is>
          <t>11-06 to 11-20</t>
        </is>
      </c>
      <c r="BA149" s="101" t="n">
        <v>99.98999999999999</v>
      </c>
      <c r="BB149" s="101" t="n">
        <v>80.73999999999999</v>
      </c>
      <c r="BC149" s="90">
        <f>IF(AND(ISNUMBER(BA149),ISNUMBER(BB149),N(BA149)&gt;0),1-BB149/BA149,"")</f>
        <v/>
      </c>
      <c r="BD149" s="102" t="n">
        <v>127180</v>
      </c>
      <c r="BE149" s="102" t="n">
        <v>98722</v>
      </c>
      <c r="BF149" s="103">
        <f>IF(AND(ISNUMBER(BD149),ISNUMBER(BE149),N(BE149)&gt;0),BD149/BE149,"")</f>
        <v/>
      </c>
      <c r="BG149" s="100" t="inlineStr">
        <is>
          <t>Y</t>
        </is>
      </c>
      <c r="BH149" s="100" t="inlineStr">
        <is>
          <t>Coupon 20%; List Price $119.99</t>
        </is>
      </c>
    </row>
    <row r="150" ht="62" customHeight="1">
      <c r="A150" s="10">
        <f>_xlfn.IMAGE("https://m.media-amazon.com/images/I/71QUqgRttAL._AC_SL1500_.jpg")</f>
        <v/>
      </c>
      <c r="B150" s="86" t="inlineStr">
        <is>
          <t>TWK</t>
        </is>
      </c>
      <c r="C150" s="32" t="inlineStr">
        <is>
          <t>TWK Real 100% Viscose Derived from Bamboo Sheets Set Queen Size, Cooling &amp; Silky</t>
        </is>
      </c>
      <c r="D150" s="86" t="inlineStr">
        <is>
          <t>Beatable</t>
        </is>
      </c>
      <c r="E150" s="87" t="inlineStr">
        <is>
          <t>B0HHQG3RSW</t>
        </is>
      </c>
      <c r="F150" s="87" t="inlineStr">
        <is>
          <t>B0HHRR4XGX</t>
        </is>
      </c>
      <c r="G150" s="86" t="inlineStr">
        <is>
          <t>Queen</t>
        </is>
      </c>
      <c r="H150" s="86" t="inlineStr">
        <is>
          <t>White</t>
        </is>
      </c>
      <c r="I150" s="88" t="n">
        <v>1</v>
      </c>
      <c r="J150" s="32" t="inlineStr">
        <is>
          <t>B0HHRR4XGX (100%)</t>
        </is>
      </c>
      <c r="K150" s="89" t="n">
        <v>105</v>
      </c>
      <c r="L150" s="89" t="n"/>
      <c r="M150" s="90">
        <f>IF(AND(ISNUMBER(L150),ISNUMBER(K150),N(K150)&gt;0),L150/K150-1,"")</f>
        <v/>
      </c>
      <c r="N150" s="91">
        <f>IF(M150="","No List Price",IF(M150&lt;=0,"At/below price",IF(M150&lt;=0.12,"&lt;=12% STR zone",IF(M150&lt;=0.25,"12-25%","&gt;25% over"))))</f>
        <v/>
      </c>
      <c r="O150" s="89" t="n">
        <v>89.98999999999999</v>
      </c>
      <c r="P150" s="92">
        <f>IF(AND(ISNUMBER(K150),ISNUMBER(O150),N(O150)&gt;0),K150/O150-1,"")</f>
        <v/>
      </c>
      <c r="Q150" s="32" t="inlineStr">
        <is>
          <t>Same size (Queen). Ours live: Helium 10 Xray, 2026-10-13; 15 children</t>
        </is>
      </c>
      <c r="R150" s="88" t="n"/>
      <c r="S150" s="88" t="n">
        <v>5</v>
      </c>
      <c r="T150" s="93">
        <f>IF(AND(ISNUMBER(K150),ISNUMBER(S150)),K150*S150*52/12,"")</f>
        <v/>
      </c>
      <c r="U150" s="94" t="n">
        <v>4.5</v>
      </c>
      <c r="V150" s="88" t="n"/>
      <c r="W150" s="95" t="n">
        <v>46307</v>
      </c>
      <c r="X150" s="95" t="n"/>
      <c r="Y150" s="86" t="n"/>
      <c r="Z150" s="86" t="n"/>
      <c r="AA150" s="88" t="n">
        <v>30066</v>
      </c>
      <c r="AB150" s="88" t="n">
        <v>74</v>
      </c>
      <c r="AC150" s="96" t="n">
        <v>1</v>
      </c>
      <c r="AD150" s="96" t="n">
        <v>0</v>
      </c>
      <c r="AE150" s="32" t="inlineStr">
        <is>
          <t>queen sheet set</t>
        </is>
      </c>
      <c r="AF150" s="96" t="n"/>
      <c r="AG150" s="96" t="n"/>
      <c r="AH150" s="96" t="n"/>
      <c r="AI150" s="96" t="n"/>
      <c r="AJ150" s="88" t="n">
        <v>71</v>
      </c>
      <c r="AK150" s="88" t="n">
        <v>54</v>
      </c>
      <c r="AL150" s="88" t="n">
        <v>16</v>
      </c>
      <c r="AM150" s="88" t="n">
        <v>3</v>
      </c>
      <c r="AN150" s="88" t="n">
        <v>0</v>
      </c>
      <c r="AO150" s="88" t="n">
        <v>0</v>
      </c>
      <c r="AP150" s="97" t="n"/>
      <c r="AQ150" s="92" t="n"/>
      <c r="AR150" s="98" t="inlineStr">
        <is>
          <t>N</t>
        </is>
      </c>
      <c r="AS150" s="98" t="inlineStr">
        <is>
          <t>none</t>
        </is>
      </c>
      <c r="AT150" s="104" t="n"/>
      <c r="AU150" s="99" t="n">
        <v>105</v>
      </c>
      <c r="AV150" s="98" t="inlineStr">
        <is>
          <t>none</t>
        </is>
      </c>
      <c r="AW150" s="98" t="inlineStr">
        <is>
          <t>Y</t>
        </is>
      </c>
      <c r="AX150" s="98" t="inlineStr">
        <is>
          <t>2026-10-13 12:11:39</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38" t="inlineStr">
        <is>
          <t>COMING SOON</t>
        </is>
      </c>
      <c r="B151" s="86" t="inlineStr">
        <is>
          <t>TOSMO</t>
        </is>
      </c>
      <c r="C151" s="32" t="inlineStr">
        <is>
          <t>TOSMO Luxury Cooling Sheet Set - 100% Viscose from Bamboo, 4-Piece Bedding Set (King Size) - 18” Extra Deep Pockets, Oeko-Tex Certified, Silky Soft and Breathable, Classic White</t>
        </is>
      </c>
      <c r="D151" s="86" t="inlineStr">
        <is>
          <t>Beatable</t>
        </is>
      </c>
      <c r="E151" s="86" t="n"/>
      <c r="F151" s="87" t="inlineStr">
        <is>
          <t>B0DWXNH24Z</t>
        </is>
      </c>
      <c r="G151" s="86" t="inlineStr">
        <is>
          <t>King</t>
        </is>
      </c>
      <c r="H151" s="86" t="inlineStr">
        <is>
          <t>White</t>
        </is>
      </c>
      <c r="I151" s="88" t="n"/>
      <c r="J151" s="32" t="inlineStr"/>
      <c r="K151" s="89" t="n">
        <v>129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(King). Ours live: Helium 10 Xray, 2026-10-13; 15 children</t>
        </is>
      </c>
      <c r="R151" s="88" t="n">
        <v>543947</v>
      </c>
      <c r="S151" s="88" t="n"/>
      <c r="T151" s="93">
        <f>IF(AND(ISNUMBER(K151),ISNUMBER(S151)),K151*S151*52/12,"")</f>
        <v/>
      </c>
      <c r="U151" s="94" t="n">
        <v>4.4</v>
      </c>
      <c r="V151" s="88" t="n">
        <v>53</v>
      </c>
      <c r="W151" s="95" t="n">
        <v>46306</v>
      </c>
      <c r="X151" s="95" t="n"/>
      <c r="Y151" s="86" t="n"/>
      <c r="Z151" s="86" t="n"/>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11-20 to 12-01</t>
        </is>
      </c>
      <c r="BA151" s="101" t="n">
        <v>134</v>
      </c>
      <c r="BB151" s="101" t="n">
        <v>105.39</v>
      </c>
      <c r="BC151" s="90">
        <f>IF(AND(ISNUMBER(BA151),ISNUMBER(BB151),N(BA151)&gt;0),1-BB151/BA151,"")</f>
        <v/>
      </c>
      <c r="BD151" s="102" t="n">
        <v>166573</v>
      </c>
      <c r="BE151" s="102" t="n">
        <v>90856</v>
      </c>
      <c r="BF151" s="103">
        <f>IF(AND(ISNUMBER(BD151),ISNUMBER(BE151),N(BE151)&gt;0),BD151/BE151,"")</f>
        <v/>
      </c>
      <c r="BG151" s="105" t="n"/>
      <c r="BH151" s="100" t="inlineStr">
        <is>
          <t>List Price $169.99</t>
        </is>
      </c>
    </row>
    <row r="152" ht="62" customHeight="1">
      <c r="A152" s="10">
        <f>_xlfn.IMAGE("https://images-na.ssl-images-amazon.com/images/I/619BLF7gvdL.jpg")</f>
        <v/>
      </c>
      <c r="B152" s="86" t="inlineStr">
        <is>
          <t>Pillcase</t>
        </is>
      </c>
      <c r="C152" s="32" t="inlineStr">
        <is>
          <t>Pillcase Luxury Organic Tencel &amp; Viscose from Bamboo Cooling Sheet Set,Silky Soft Lyocell Sheets with Deep Pocket, Hypoallergenic &amp; Breathable Bedding with Pillowcases (White, King)</t>
        </is>
      </c>
      <c r="D152" s="86" t="inlineStr">
        <is>
          <t>Beatable</t>
        </is>
      </c>
      <c r="E152" s="86" t="n"/>
      <c r="F152" s="87" t="inlineStr">
        <is>
          <t>B0GZ243WW5</t>
        </is>
      </c>
      <c r="G152" s="86" t="inlineStr">
        <is>
          <t>King</t>
        </is>
      </c>
      <c r="H152" s="86" t="inlineStr">
        <is>
          <t>White</t>
        </is>
      </c>
      <c r="I152" s="88" t="n">
        <v>1</v>
      </c>
      <c r="J152" s="32" t="inlineStr"/>
      <c r="K152" s="89" t="n">
        <v>99</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(King). Ours live: Helium 10 Xray, 2026-10-13; 15 children</t>
        </is>
      </c>
      <c r="R152" s="88" t="n">
        <v>3440303</v>
      </c>
      <c r="S152" s="88" t="n"/>
      <c r="T152" s="93">
        <f>IF(AND(ISNUMBER(K152),ISNUMBER(S152)),K152*S152*52/12,"")</f>
        <v/>
      </c>
      <c r="U152" s="94" t="n">
        <v>4.9</v>
      </c>
      <c r="V152" s="88" t="n">
        <v>201</v>
      </c>
      <c r="W152" s="95" t="n">
        <v>46306</v>
      </c>
      <c r="X152" s="95" t="n">
        <v>46143</v>
      </c>
      <c r="Y152" s="86" t="inlineStr">
        <is>
          <t>FBM</t>
        </is>
      </c>
      <c r="Z152" s="86" t="inlineStr">
        <is>
          <t>N/A</t>
        </is>
      </c>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105" t="n"/>
      <c r="AS152" s="105" t="n"/>
      <c r="AT152" s="104" t="n"/>
      <c r="AU152" s="104" t="n"/>
      <c r="AV152" s="105" t="n"/>
      <c r="AW152" s="105" t="n"/>
      <c r="AX152" s="105" t="n"/>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_xlfn.IMAGE("https://images-na.ssl-images-amazon.com/images/I/61fbapIObwL.jpg")</f>
        <v/>
      </c>
      <c r="B153" s="86" t="inlineStr">
        <is>
          <t>BAMPURE</t>
        </is>
      </c>
      <c r="C153" s="32" t="inlineStr">
        <is>
          <t>BAMPURE 100% Rayon from Bamboo Sheets Queen Size - 4pc Cooling Sheets Queen</t>
        </is>
      </c>
      <c r="D153" s="86" t="inlineStr">
        <is>
          <t>Beatable</t>
        </is>
      </c>
      <c r="E153" s="86" t="n"/>
      <c r="F153" s="87" t="inlineStr">
        <is>
          <t>B07XBJY2JR</t>
        </is>
      </c>
      <c r="G153" s="86" t="inlineStr">
        <is>
          <t>Queen</t>
        </is>
      </c>
      <c r="H153" s="86" t="n"/>
      <c r="I153" s="88" t="n">
        <v>40</v>
      </c>
      <c r="J153" s="32" t="inlineStr"/>
      <c r="K153" s="89" t="n">
        <v>72.23</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15 children</t>
        </is>
      </c>
      <c r="R153" s="88" t="n">
        <v>14474</v>
      </c>
      <c r="S153" s="88" t="n"/>
      <c r="T153" s="93">
        <f>IF(AND(ISNUMBER(K153),ISNUMBER(S153)),K153*S153*52/12,"")</f>
        <v/>
      </c>
      <c r="U153" s="94" t="n">
        <v>4.4</v>
      </c>
      <c r="V153" s="88" t="n">
        <v>4320</v>
      </c>
      <c r="W153" s="95" t="n">
        <v>46306</v>
      </c>
      <c r="X153" s="95" t="n">
        <v>43784</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105" t="n"/>
      <c r="AS153" s="105" t="n"/>
      <c r="AT153" s="104" t="n"/>
      <c r="AU153" s="104" t="n"/>
      <c r="AV153" s="105" t="n"/>
      <c r="AW153" s="105" t="n"/>
      <c r="AX153" s="105" t="n"/>
      <c r="AY153" s="100" t="inlineStr">
        <is>
          <t>Prime Exclusive Discount</t>
        </is>
      </c>
      <c r="AZ153" s="100" t="inlineStr">
        <is>
          <t>11-21 to 11-30</t>
        </is>
      </c>
      <c r="BA153" s="101" t="n">
        <v>84.98999999999999</v>
      </c>
      <c r="BB153" s="101" t="n">
        <v>79.98999999999999</v>
      </c>
      <c r="BC153" s="90">
        <f>IF(AND(ISNUMBER(BA153),ISNUMBER(BB153),N(BA153)&gt;0),1-BB153/BA153,"")</f>
        <v/>
      </c>
      <c r="BD153" s="102" t="n">
        <v>33490</v>
      </c>
      <c r="BE153" s="102" t="n">
        <v>28222</v>
      </c>
      <c r="BF153" s="103">
        <f>IF(AND(ISNUMBER(BD153),ISNUMBER(BE153),N(BE153)&gt;0),BD153/BE153,"")</f>
        <v/>
      </c>
      <c r="BG153" s="105" t="n"/>
      <c r="BH153" s="100" t="inlineStr">
        <is>
          <t>Buy Box RAISED in BFCM week (median $99.99 vs $84.99 before); List Price $99.99</t>
        </is>
      </c>
    </row>
    <row r="154" ht="62" customHeight="1">
      <c r="A154" s="10">
        <f>_xlfn.IMAGE("https://m.media-amazon.com/images/I/71m+WEzQwhL._AC_SL1500_.jpg")</f>
        <v/>
      </c>
      <c r="B154" s="86" t="inlineStr">
        <is>
          <t>AiAngu</t>
        </is>
      </c>
      <c r="C154" s="32" t="inlineStr">
        <is>
          <t>Bamboo Sheets</t>
        </is>
      </c>
      <c r="D154" s="86" t="inlineStr">
        <is>
          <t>Poor</t>
        </is>
      </c>
      <c r="E154" s="87" t="inlineStr">
        <is>
          <t>B0GX135KCN</t>
        </is>
      </c>
      <c r="F154" s="87" t="inlineStr">
        <is>
          <t>B0GX15Y7TT</t>
        </is>
      </c>
      <c r="G154" s="86" t="inlineStr">
        <is>
          <t>Queen</t>
        </is>
      </c>
      <c r="H154" s="86" t="inlineStr">
        <is>
          <t>Dark Grey</t>
        </is>
      </c>
      <c r="I154" s="88" t="n"/>
      <c r="J154" s="32" t="inlineStr"/>
      <c r="K154" s="89" t="n">
        <v>74.98999999999999</v>
      </c>
      <c r="L154" s="89" t="n">
        <v>79.98999999999999</v>
      </c>
      <c r="M154" s="90">
        <f>IF(AND(ISNUMBER(L154),ISNUMBER(K154),N(K154)&gt;0),L154/K154-1,"")</f>
        <v/>
      </c>
      <c r="N154" s="91">
        <f>IF(M154="","No List Price",IF(M154&lt;=0,"At/below price",IF(M154&lt;=0.12,"&lt;=12% STR zone",IF(M154&lt;=0.25,"12-25%","&gt;25% over"))))</f>
        <v/>
      </c>
      <c r="O154" s="89" t="n">
        <v>89.98999999999999</v>
      </c>
      <c r="P154" s="92">
        <f>IF(AND(ISNUMBER(K154),ISNUMBER(O154),N(O154)&gt;0),K154/O154-1,"")</f>
        <v/>
      </c>
      <c r="Q154" s="32" t="inlineStr">
        <is>
          <t>Same size (Queen). Ours live: Helium 10 Xray, 2026-10-13; 15 children</t>
        </is>
      </c>
      <c r="R154" s="88" t="n">
        <v>39296</v>
      </c>
      <c r="S154" s="88" t="n">
        <v>81</v>
      </c>
      <c r="T154" s="93">
        <f>IF(AND(ISNUMBER(K154),ISNUMBER(S154)),K154*S154*52/12,"")</f>
        <v/>
      </c>
      <c r="U154" s="94" t="n">
        <v>4.6</v>
      </c>
      <c r="V154" s="88" t="n">
        <v>121</v>
      </c>
      <c r="W154" s="95" t="n">
        <v>46307</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Y</t>
        </is>
      </c>
      <c r="AS154" s="98" t="inlineStr">
        <is>
          <t>List Price</t>
        </is>
      </c>
      <c r="AT154" s="99" t="n">
        <v>79.98999999999999</v>
      </c>
      <c r="AU154" s="99" t="n">
        <v>74.98999999999999</v>
      </c>
      <c r="AV154" s="98" t="inlineStr">
        <is>
          <t>coupon 25%</t>
        </is>
      </c>
      <c r="AW154" s="98" t="inlineStr">
        <is>
          <t>Y</t>
        </is>
      </c>
      <c r="AX154" s="98" t="inlineStr">
        <is>
          <t>2026-10-13 23:35:32</t>
        </is>
      </c>
      <c r="AY154" s="100" t="inlineStr">
        <is>
          <t>Not live in 2025</t>
        </is>
      </c>
      <c r="AZ154" s="105" t="n"/>
      <c r="BA154" s="104" t="n"/>
      <c r="BB154" s="104" t="n"/>
      <c r="BC154" s="90">
        <f>IF(AND(ISNUMBER(BA154),ISNUMBER(BB154),N(BA154)&gt;0),1-BB154/BA154,"")</f>
        <v/>
      </c>
      <c r="BD154" s="106" t="n"/>
      <c r="BE154" s="106" t="n"/>
      <c r="BF154" s="103">
        <f>IF(AND(ISNUMBER(BD154),ISNUMBER(BE154),N(BE154)&gt;0),BD154/BE154,"")</f>
        <v/>
      </c>
      <c r="BG154" s="105" t="n"/>
      <c r="BH154" s="105" t="n"/>
    </row>
    <row r="155" ht="62" customHeight="1">
      <c r="A155" s="10">
        <f>_xlfn.IMAGE("https://images-na.ssl-images-amazon.com/images/I/71Kvq1YdGJL.jpg")</f>
        <v/>
      </c>
      <c r="B155" s="86" t="inlineStr">
        <is>
          <t>Cariloha</t>
        </is>
      </c>
      <c r="C155" s="32" t="inlineStr">
        <is>
          <t>Cariloha Aloha Soft Bamboo Viscose Sheet Set - Natural - Queen</t>
        </is>
      </c>
      <c r="D155" s="86" t="inlineStr">
        <is>
          <t>Poor</t>
        </is>
      </c>
      <c r="E155" s="87" t="inlineStr">
        <is>
          <t>B0F89K7BXJ</t>
        </is>
      </c>
      <c r="F155" s="87" t="inlineStr">
        <is>
          <t>B0DJV1K332</t>
        </is>
      </c>
      <c r="G155" s="86" t="inlineStr">
        <is>
          <t>Queen</t>
        </is>
      </c>
      <c r="H155" s="86" t="inlineStr">
        <is>
          <t>Natural</t>
        </is>
      </c>
      <c r="I155" s="88" t="n">
        <v>35</v>
      </c>
      <c r="J155" s="32" t="inlineStr"/>
      <c r="K155" s="89" t="n">
        <v>107.1</v>
      </c>
      <c r="L155" s="89" t="n"/>
      <c r="M155" s="90">
        <f>IF(AND(ISNUMBER(L155),ISNUMBER(K155),N(K155)&gt;0),L155/K155-1,"")</f>
        <v/>
      </c>
      <c r="N155" s="91">
        <f>IF(M155="","No List Price",IF(M155&lt;=0,"At/below price",IF(M155&lt;=0.12,"&lt;=12% STR zone",IF(M155&lt;=0.25,"12-25%","&gt;25% over"))))</f>
        <v/>
      </c>
      <c r="O155" s="89" t="n">
        <v>89.98999999999999</v>
      </c>
      <c r="P155" s="92">
        <f>IF(AND(ISNUMBER(K155),ISNUMBER(O155),N(O155)&gt;0),K155/O155-1,"")</f>
        <v/>
      </c>
      <c r="Q155" s="32" t="inlineStr">
        <is>
          <t>Same size (Queen). Ours live: Helium 10 Xray, 2026-10-13; 15 children</t>
        </is>
      </c>
      <c r="R155" s="88" t="n">
        <v>15882</v>
      </c>
      <c r="S155" s="88" t="n">
        <v>81</v>
      </c>
      <c r="T155" s="93">
        <f>IF(AND(ISNUMBER(K155),ISNUMBER(S155)),K155*S155*52/12,"")</f>
        <v/>
      </c>
      <c r="U155" s="94" t="n">
        <v>4.4</v>
      </c>
      <c r="V155" s="88" t="n">
        <v>426</v>
      </c>
      <c r="W155" s="95" t="n">
        <v>46307</v>
      </c>
      <c r="X155" s="95" t="n">
        <v>45575</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Y</t>
        </is>
      </c>
      <c r="AS155" s="98" t="inlineStr">
        <is>
          <t>List Price</t>
        </is>
      </c>
      <c r="AT155" s="99" t="n">
        <v>119</v>
      </c>
      <c r="AU155" s="99" t="n">
        <v>107.1</v>
      </c>
      <c r="AV155" s="98" t="inlineStr">
        <is>
          <t>none</t>
        </is>
      </c>
      <c r="AW155" s="98" t="inlineStr">
        <is>
          <t>Y</t>
        </is>
      </c>
      <c r="AX155" s="98" t="inlineStr">
        <is>
          <t>2026-10-13 23:35:56</t>
        </is>
      </c>
      <c r="AY155" s="100" t="inlineStr">
        <is>
          <t>Prime Exclusive Discount</t>
        </is>
      </c>
      <c r="AZ155" s="100" t="inlineStr">
        <is>
          <t>11-23 to 11-30</t>
        </is>
      </c>
      <c r="BA155" s="101" t="n">
        <v>119</v>
      </c>
      <c r="BB155" s="101" t="n">
        <v>71.40000000000001</v>
      </c>
      <c r="BC155" s="90">
        <f>IF(AND(ISNUMBER(BA155),ISNUMBER(BB155),N(BA155)&gt;0),1-BB155/BA155,"")</f>
        <v/>
      </c>
      <c r="BD155" s="102" t="n">
        <v>52063</v>
      </c>
      <c r="BE155" s="102" t="n">
        <v>37342</v>
      </c>
      <c r="BF155" s="103">
        <f>IF(AND(ISNUMBER(BD155),ISNUMBER(BE155),N(BE155)&gt;0),BD155/BE155,"")</f>
        <v/>
      </c>
      <c r="BG155" s="100" t="inlineStr">
        <is>
          <t>N</t>
        </is>
      </c>
      <c r="BH155" s="100" t="inlineStr">
        <is>
          <t>Coupon 20%, 30% (11-01 to 12-05); List Price $119.00</t>
        </is>
      </c>
    </row>
    <row r="156" ht="62" customHeight="1">
      <c r="A156" s="10">
        <f>_xlfn.IMAGE("https://images-na.ssl-images-amazon.com/images/I/81fSDKgL-SL.jpg")</f>
        <v/>
      </c>
      <c r="B156" s="86" t="inlineStr">
        <is>
          <t>ACCURATEX</t>
        </is>
      </c>
      <c r="C156" s="32" t="inlineStr">
        <is>
          <t>ACCURATEX Cooling Sheets for Hot Sleepers, King Size, Grey</t>
        </is>
      </c>
      <c r="D156" s="86" t="inlineStr">
        <is>
          <t>Poor</t>
        </is>
      </c>
      <c r="E156" s="87" t="inlineStr">
        <is>
          <t>B0GMGSMLQ1</t>
        </is>
      </c>
      <c r="F156" s="87" t="inlineStr">
        <is>
          <t>B09PYB9C45</t>
        </is>
      </c>
      <c r="G156" s="86" t="inlineStr">
        <is>
          <t>King</t>
        </is>
      </c>
      <c r="H156" s="86" t="inlineStr">
        <is>
          <t>Grey</t>
        </is>
      </c>
      <c r="I156" s="88" t="n">
        <v>51</v>
      </c>
      <c r="J156" s="32" t="inlineStr"/>
      <c r="K156" s="89" t="n">
        <v>69.98999999999999</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15 children</t>
        </is>
      </c>
      <c r="R156" s="88" t="n">
        <v>33423</v>
      </c>
      <c r="S156" s="88" t="n">
        <v>35</v>
      </c>
      <c r="T156" s="93">
        <f>IF(AND(ISNUMBER(K156),ISNUMBER(S156)),K156*S156*52/12,"")</f>
        <v/>
      </c>
      <c r="U156" s="94" t="n">
        <v>4.4</v>
      </c>
      <c r="V156" s="88" t="n">
        <v>1040</v>
      </c>
      <c r="W156" s="95" t="n">
        <v>46307</v>
      </c>
      <c r="X156" s="95" t="n">
        <v>44681</v>
      </c>
      <c r="Y156" s="86" t="inlineStr">
        <is>
          <t>FBA</t>
        </is>
      </c>
      <c r="Z156" s="86" t="inlineStr">
        <is>
          <t>CN</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N</t>
        </is>
      </c>
      <c r="AS156" s="98" t="inlineStr">
        <is>
          <t>none</t>
        </is>
      </c>
      <c r="AT156" s="104" t="n"/>
      <c r="AU156" s="99" t="n">
        <v>69.98999999999999</v>
      </c>
      <c r="AV156" s="98" t="inlineStr">
        <is>
          <t>none</t>
        </is>
      </c>
      <c r="AW156" s="98" t="inlineStr">
        <is>
          <t>Y</t>
        </is>
      </c>
      <c r="AX156" s="98" t="inlineStr">
        <is>
          <t>2026-10-13 23:35:28</t>
        </is>
      </c>
      <c r="AY156" s="100" t="inlineStr">
        <is>
          <t>Prime Exclusive Discount</t>
        </is>
      </c>
      <c r="AZ156" s="100" t="inlineStr">
        <is>
          <t>11-26 to 12-01</t>
        </is>
      </c>
      <c r="BA156" s="101" t="n">
        <v>59.49</v>
      </c>
      <c r="BB156" s="101" t="n">
        <v>59.49</v>
      </c>
      <c r="BC156" s="90">
        <f>IF(AND(ISNUMBER(BA156),ISNUMBER(BB156),N(BA156)&gt;0),1-BB156/BA156,"")</f>
        <v/>
      </c>
      <c r="BD156" s="102" t="n">
        <v>33899</v>
      </c>
      <c r="BE156" s="102" t="n">
        <v>51988</v>
      </c>
      <c r="BF156" s="103">
        <f>IF(AND(ISNUMBER(BD156),ISNUMBER(BE156),N(BE156)&gt;0),BD156/BE156,"")</f>
        <v/>
      </c>
      <c r="BG156" s="100" t="inlineStr">
        <is>
          <t>N</t>
        </is>
      </c>
      <c r="BH156" s="100" t="inlineStr">
        <is>
          <t>Lightning Deal 11-13 to 11-13; Buy Box RAISED in BFCM week (median $74.99 vs $69.99 before); List Price $74.99</t>
        </is>
      </c>
    </row>
    <row r="157" ht="62" customHeight="1">
      <c r="A157" s="10">
        <f>_xlfn.IMAGE("https://images-na.ssl-images-amazon.com/images/I/61NbNWE+BJL.jpg")</f>
        <v/>
      </c>
      <c r="B157" s="86" t="inlineStr">
        <is>
          <t>Cozy Earth</t>
        </is>
      </c>
      <c r="C157" s="32" t="inlineStr">
        <is>
          <t>Cozy Earth Luxury Bed Sheet Set, 100% Viscose from Bamboo Fabric</t>
        </is>
      </c>
      <c r="D157" s="86" t="inlineStr">
        <is>
          <t>Poor</t>
        </is>
      </c>
      <c r="E157" s="87" t="inlineStr">
        <is>
          <t>B0DSQ9V4ML</t>
        </is>
      </c>
      <c r="F157" s="87" t="inlineStr">
        <is>
          <t>B0F22JR4S8</t>
        </is>
      </c>
      <c r="G157" s="86" t="inlineStr">
        <is>
          <t>King</t>
        </is>
      </c>
      <c r="H157" s="86" t="inlineStr">
        <is>
          <t>White</t>
        </is>
      </c>
      <c r="I157" s="88" t="n">
        <v>54</v>
      </c>
      <c r="J157" s="32" t="inlineStr"/>
      <c r="K157" s="89" t="n">
        <v>328</v>
      </c>
      <c r="L157" s="89" t="n"/>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(King). Ours live: Helium 10 Xray, 2026-10-13; 15 children</t>
        </is>
      </c>
      <c r="R157" s="88" t="n">
        <v>45709</v>
      </c>
      <c r="S157" s="88" t="n">
        <v>35</v>
      </c>
      <c r="T157" s="93">
        <f>IF(AND(ISNUMBER(K157),ISNUMBER(S157)),K157*S157*52/12,"")</f>
        <v/>
      </c>
      <c r="U157" s="94" t="n">
        <v>3.9</v>
      </c>
      <c r="V157" s="88" t="n">
        <v>425</v>
      </c>
      <c r="W157" s="95" t="n">
        <v>46307</v>
      </c>
      <c r="X157" s="95" t="n">
        <v>41624</v>
      </c>
      <c r="Y157" s="86" t="inlineStr">
        <is>
          <t>FBA</t>
        </is>
      </c>
      <c r="Z157" s="86" t="inlineStr">
        <is>
          <t>US</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328</v>
      </c>
      <c r="AV157" s="98" t="inlineStr">
        <is>
          <t>none</t>
        </is>
      </c>
      <c r="AW157" s="98" t="inlineStr">
        <is>
          <t>Y</t>
        </is>
      </c>
      <c r="AX157" s="98" t="inlineStr">
        <is>
          <t>2026-10-13 23:36:06</t>
        </is>
      </c>
      <c r="AY157" s="100" t="inlineStr">
        <is>
          <t>Prime Exclusive Discount</t>
        </is>
      </c>
      <c r="AZ157" s="100" t="inlineStr">
        <is>
          <t>11-27 to 12-01</t>
        </is>
      </c>
      <c r="BA157" s="101" t="n">
        <v>262.4</v>
      </c>
      <c r="BB157" s="101" t="n">
        <v>229.6</v>
      </c>
      <c r="BC157" s="90">
        <f>IF(AND(ISNUMBER(BA157),ISNUMBER(BB157),N(BA157)&gt;0),1-BB157/BA157,"")</f>
        <v/>
      </c>
      <c r="BD157" s="102" t="n">
        <v>51830</v>
      </c>
      <c r="BE157" s="102" t="n">
        <v>28404</v>
      </c>
      <c r="BF157" s="103">
        <f>IF(AND(ISNUMBER(BD157),ISNUMBER(BE157),N(BE157)&gt;0),BD157/BE157,"")</f>
        <v/>
      </c>
      <c r="BG157" s="100" t="inlineStr">
        <is>
          <t>N</t>
        </is>
      </c>
      <c r="BH157" s="100" t="inlineStr">
        <is>
          <t>List Price $328.00</t>
        </is>
      </c>
    </row>
    <row r="158" ht="62" customHeight="1">
      <c r="A158" s="10">
        <f>_xlfn.IMAGE("https://images-na.ssl-images-amazon.com/images/I/61iqSV9TaLL.jpg")</f>
        <v/>
      </c>
      <c r="B158" s="86" t="inlineStr">
        <is>
          <t>DREAMCARE</t>
        </is>
      </c>
      <c r="C158" s="32" t="inlineStr">
        <is>
          <t>DREAMCARE 100% Rayon Bamboo Sheets King Size - 4pc Cooling Sheets King Size</t>
        </is>
      </c>
      <c r="D158" s="86" t="inlineStr">
        <is>
          <t>Poor</t>
        </is>
      </c>
      <c r="E158" s="87" t="inlineStr">
        <is>
          <t>B0DVZFLVMG</t>
        </is>
      </c>
      <c r="F158" s="87" t="inlineStr">
        <is>
          <t>B0CF2MND41</t>
        </is>
      </c>
      <c r="G158" s="86" t="inlineStr">
        <is>
          <t>King</t>
        </is>
      </c>
      <c r="H158" s="86" t="inlineStr">
        <is>
          <t>5 - Gray</t>
        </is>
      </c>
      <c r="I158" s="88" t="n">
        <v>30</v>
      </c>
      <c r="J158" s="32" t="inlineStr"/>
      <c r="K158" s="89" t="n">
        <v>46.74</v>
      </c>
      <c r="L158" s="89" t="n">
        <v>59.99</v>
      </c>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(King). Ours live: Helium 10 Xray, 2026-10-13; 15 children</t>
        </is>
      </c>
      <c r="R158" s="88" t="n">
        <v>37217</v>
      </c>
      <c r="S158" s="88" t="n">
        <v>35</v>
      </c>
      <c r="T158" s="93">
        <f>IF(AND(ISNUMBER(K158),ISNUMBER(S158)),K158*S158*52/12,"")</f>
        <v/>
      </c>
      <c r="U158" s="94" t="n">
        <v>4.5</v>
      </c>
      <c r="V158" s="88" t="n">
        <v>2261</v>
      </c>
      <c r="W158" s="95" t="n">
        <v>46307</v>
      </c>
      <c r="X158" s="95" t="n">
        <v>45146</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59.99</v>
      </c>
      <c r="AU158" s="99" t="n">
        <v>46.74</v>
      </c>
      <c r="AV158" s="98" t="inlineStr">
        <is>
          <t>Limited time deal</t>
        </is>
      </c>
      <c r="AW158" s="98" t="inlineStr">
        <is>
          <t>Y</t>
        </is>
      </c>
      <c r="AX158" s="98" t="inlineStr">
        <is>
          <t>2026-10-13 23:36:12</t>
        </is>
      </c>
      <c r="AY158" s="100" t="inlineStr">
        <is>
          <t>Prime Exclusive Discount</t>
        </is>
      </c>
      <c r="AZ158" s="100" t="inlineStr">
        <is>
          <t>11-22 to 12-01</t>
        </is>
      </c>
      <c r="BA158" s="101" t="n">
        <v>58.99</v>
      </c>
      <c r="BB158" s="101" t="n">
        <v>49.99</v>
      </c>
      <c r="BC158" s="90">
        <f>IF(AND(ISNUMBER(BA158),ISNUMBER(BB158),N(BA158)&gt;0),1-BB158/BA158,"")</f>
        <v/>
      </c>
      <c r="BD158" s="102" t="n">
        <v>209915</v>
      </c>
      <c r="BE158" s="102" t="n">
        <v>169120</v>
      </c>
      <c r="BF158" s="103">
        <f>IF(AND(ISNUMBER(BD158),ISNUMBER(BE158),N(BE158)&gt;0),BD158/BE158,"")</f>
        <v/>
      </c>
      <c r="BG158" s="100" t="inlineStr">
        <is>
          <t>N</t>
        </is>
      </c>
      <c r="BH158" s="100" t="inlineStr">
        <is>
          <t>Buy Box RAISED in BFCM week (median $62.88 vs $58.99 before); List Price $58.99</t>
        </is>
      </c>
    </row>
    <row r="159" ht="62" customHeight="1">
      <c r="A159" s="10">
        <f>_xlfn.IMAGE("https://images-na.ssl-images-amazon.com/images/I/81noqNc+ZjL.jpg")</f>
        <v/>
      </c>
      <c r="B159" s="86" t="inlineStr">
        <is>
          <t>HOT SLEEPER SHEETS</t>
        </is>
      </c>
      <c r="C159" s="32" t="inlineStr">
        <is>
          <t>Cooling Sheets Set Queen Size, Viscose Derived from Bamboo for Hot Sleepers | Deep Pocket Up to 16 Inch | Silky Soft &amp; Breathable Bedding - 4PC (Queen, Navy)</t>
        </is>
      </c>
      <c r="D159" s="86" t="inlineStr">
        <is>
          <t>Poor</t>
        </is>
      </c>
      <c r="E159" s="87" t="inlineStr">
        <is>
          <t>B0DM3GDCTR</t>
        </is>
      </c>
      <c r="F159" s="87" t="inlineStr">
        <is>
          <t>B0D3XQM7DL</t>
        </is>
      </c>
      <c r="G159" s="86" t="inlineStr">
        <is>
          <t>Queen</t>
        </is>
      </c>
      <c r="H159" s="86" t="inlineStr">
        <is>
          <t>Navy</t>
        </is>
      </c>
      <c r="I159" s="88" t="n">
        <v>74</v>
      </c>
      <c r="J159" s="32" t="inlineStr"/>
      <c r="K159" s="89" t="n">
        <v>51.29</v>
      </c>
      <c r="L159" s="89" t="n">
        <v>62.99</v>
      </c>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15 children</t>
        </is>
      </c>
      <c r="R159" s="88" t="n">
        <v>33959</v>
      </c>
      <c r="S159" s="88" t="n">
        <v>35</v>
      </c>
      <c r="T159" s="93">
        <f>IF(AND(ISNUMBER(K159),ISNUMBER(S159)),K159*S159*52/12,"")</f>
        <v/>
      </c>
      <c r="U159" s="94" t="n">
        <v>4.4</v>
      </c>
      <c r="V159" s="88" t="n">
        <v>674</v>
      </c>
      <c r="W159" s="95" t="n">
        <v>46307</v>
      </c>
      <c r="X159" s="95" t="n">
        <v>45423</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Typical price</t>
        </is>
      </c>
      <c r="AT159" s="99" t="n">
        <v>62.99</v>
      </c>
      <c r="AU159" s="99" t="n">
        <v>51.29</v>
      </c>
      <c r="AV159" s="98" t="inlineStr">
        <is>
          <t>Limited time deal</t>
        </is>
      </c>
      <c r="AW159" s="98" t="inlineStr">
        <is>
          <t>Y</t>
        </is>
      </c>
      <c r="AX159" s="98" t="inlineStr">
        <is>
          <t>2026-10-13 23:36:21</t>
        </is>
      </c>
      <c r="AY159" s="100" t="inlineStr">
        <is>
          <t>Price cut only</t>
        </is>
      </c>
      <c r="AZ159" s="100" t="inlineStr">
        <is>
          <t>11-20 to 12-01</t>
        </is>
      </c>
      <c r="BA159" s="101" t="n">
        <v>62.99</v>
      </c>
      <c r="BB159" s="101" t="n">
        <v>45.89</v>
      </c>
      <c r="BC159" s="90">
        <f>IF(AND(ISNUMBER(BA159),ISNUMBER(BB159),N(BA159)&gt;0),1-BB159/BA159,"")</f>
        <v/>
      </c>
      <c r="BD159" s="102" t="n">
        <v>44317</v>
      </c>
      <c r="BE159" s="102" t="n">
        <v>18465</v>
      </c>
      <c r="BF159" s="103">
        <f>IF(AND(ISNUMBER(BD159),ISNUMBER(BE159),N(BE159)&gt;0),BD159/BE159,"")</f>
        <v/>
      </c>
      <c r="BG159" s="100" t="inlineStr">
        <is>
          <t>N</t>
        </is>
      </c>
      <c r="BH159" s="100" t="inlineStr">
        <is>
          <t>List Price $107.98</t>
        </is>
      </c>
    </row>
    <row r="160" ht="62" customHeight="1">
      <c r="A160" s="10">
        <f>_xlfn.IMAGE("https://images-na.ssl-images-amazon.com/images/I/71+O+E9PlaL.jpg")</f>
        <v/>
      </c>
      <c r="B160" s="86" t="inlineStr">
        <is>
          <t>Shilucheng</t>
        </is>
      </c>
      <c r="C160" s="32" t="inlineStr">
        <is>
          <t>Shilucheng 100% Viscose Derived from Bamboo_ Sheets Queen Size 4pcs</t>
        </is>
      </c>
      <c r="D160" s="86" t="inlineStr">
        <is>
          <t>Poor</t>
        </is>
      </c>
      <c r="E160" s="87" t="inlineStr">
        <is>
          <t>B0HK5V5KL1</t>
        </is>
      </c>
      <c r="F160" s="87" t="inlineStr">
        <is>
          <t>B09PYKYCCF</t>
        </is>
      </c>
      <c r="G160" s="86" t="inlineStr">
        <is>
          <t>Queen</t>
        </is>
      </c>
      <c r="H160" s="86" t="inlineStr">
        <is>
          <t>01 - Dark Grey</t>
        </is>
      </c>
      <c r="I160" s="88" t="n">
        <v>79</v>
      </c>
      <c r="J160" s="32" t="inlineStr"/>
      <c r="K160" s="89" t="n">
        <v>46.66</v>
      </c>
      <c r="L160" s="89" t="n">
        <v>54.9</v>
      </c>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15 children</t>
        </is>
      </c>
      <c r="R160" s="88" t="n">
        <v>26043</v>
      </c>
      <c r="S160" s="88" t="n">
        <v>35</v>
      </c>
      <c r="T160" s="93">
        <f>IF(AND(ISNUMBER(K160),ISNUMBER(S160)),K160*S160*52/12,"")</f>
        <v/>
      </c>
      <c r="U160" s="94" t="n">
        <v>4.4</v>
      </c>
      <c r="V160" s="88" t="n">
        <v>6629</v>
      </c>
      <c r="W160" s="95" t="n">
        <v>46307</v>
      </c>
      <c r="X160" s="95" t="n">
        <v>44652</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v>-0.9774436090225564</v>
      </c>
      <c r="AR160" s="98" t="inlineStr">
        <is>
          <t>Y</t>
        </is>
      </c>
      <c r="AS160" s="98" t="inlineStr">
        <is>
          <t>List Price</t>
        </is>
      </c>
      <c r="AT160" s="99" t="n">
        <v>54.9</v>
      </c>
      <c r="AU160" s="99" t="n">
        <v>46.66</v>
      </c>
      <c r="AV160" s="98" t="inlineStr">
        <is>
          <t>Limited time deal</t>
        </is>
      </c>
      <c r="AW160" s="98" t="inlineStr">
        <is>
          <t>Y</t>
        </is>
      </c>
      <c r="AX160" s="98" t="inlineStr">
        <is>
          <t>2026-10-13 23:36:49</t>
        </is>
      </c>
      <c r="AY160" s="100" t="inlineStr">
        <is>
          <t>Prime Exclusive Discount</t>
        </is>
      </c>
      <c r="AZ160" s="100" t="inlineStr">
        <is>
          <t>11-23 to 12-01</t>
        </is>
      </c>
      <c r="BA160" s="101" t="n">
        <v>54.9</v>
      </c>
      <c r="BB160" s="101" t="n">
        <v>46.64</v>
      </c>
      <c r="BC160" s="90">
        <f>IF(AND(ISNUMBER(BA160),ISNUMBER(BB160),N(BA160)&gt;0),1-BB160/BA160,"")</f>
        <v/>
      </c>
      <c r="BD160" s="102" t="n">
        <v>15970</v>
      </c>
      <c r="BE160" s="102" t="n">
        <v>18592</v>
      </c>
      <c r="BF160" s="103">
        <f>IF(AND(ISNUMBER(BD160),ISNUMBER(BE160),N(BE160)&gt;0),BD160/BE160,"")</f>
        <v/>
      </c>
      <c r="BG160" s="100" t="inlineStr">
        <is>
          <t>N</t>
        </is>
      </c>
      <c r="BH160" s="100" t="inlineStr">
        <is>
          <t>Buy Box RAISED in BFCM week (median $58.30 vs $54.90 before); List Price $59.90</t>
        </is>
      </c>
    </row>
    <row r="161" ht="62" customHeight="1">
      <c r="A161" s="10">
        <f>_xlfn.IMAGE("https://m.media-amazon.com/images/I/71zexS-HoPL._AC_SL1500_.jpg")</f>
        <v/>
      </c>
      <c r="B161" s="86" t="inlineStr">
        <is>
          <t>Bamtek</t>
        </is>
      </c>
      <c r="C161" s="32" t="inlineStr">
        <is>
          <t>Viscose Bamboo Sheets Queen Size 4PC Set - Cooling Bedding for Hot Sleepers with</t>
        </is>
      </c>
      <c r="D161" s="86" t="inlineStr">
        <is>
          <t>Poor</t>
        </is>
      </c>
      <c r="E161" s="87" t="inlineStr">
        <is>
          <t>B0CZHCZQZ3</t>
        </is>
      </c>
      <c r="F161" s="87" t="inlineStr">
        <is>
          <t>B09TQ6ZVKZ</t>
        </is>
      </c>
      <c r="G161" s="86" t="inlineStr">
        <is>
          <t>Queen</t>
        </is>
      </c>
      <c r="H161" s="86" t="inlineStr">
        <is>
          <t>Sage</t>
        </is>
      </c>
      <c r="I161" s="88" t="n"/>
      <c r="J161" s="32" t="inlineStr"/>
      <c r="K161" s="89" t="n">
        <v>94.98999999999999</v>
      </c>
      <c r="L161" s="89" t="n"/>
      <c r="M161" s="90">
        <f>IF(AND(ISNUMBER(L161),ISNUMBER(K161),N(K161)&gt;0),L161/K161-1,"")</f>
        <v/>
      </c>
      <c r="N161" s="91">
        <f>IF(M161="","No List Price",IF(M161&lt;=0,"At/below price",IF(M161&lt;=0.12,"&lt;=12% STR zone",IF(M161&lt;=0.25,"12-25%","&gt;25% over"))))</f>
        <v/>
      </c>
      <c r="O161" s="89" t="n">
        <v>89.98999999999999</v>
      </c>
      <c r="P161" s="92">
        <f>IF(AND(ISNUMBER(K161),ISNUMBER(O161),N(O161)&gt;0),K161/O161-1,"")</f>
        <v/>
      </c>
      <c r="Q161" s="32" t="inlineStr">
        <is>
          <t>Same size (Queen). Ours live: Helium 10 Xray, 2026-10-13; 15 children</t>
        </is>
      </c>
      <c r="R161" s="88" t="n">
        <v>79376</v>
      </c>
      <c r="S161" s="88" t="n">
        <v>18</v>
      </c>
      <c r="T161" s="93">
        <f>IF(AND(ISNUMBER(K161),ISNUMBER(S161)),K161*S161*52/12,"")</f>
        <v/>
      </c>
      <c r="U161" s="94" t="n">
        <v>4.4</v>
      </c>
      <c r="V161" s="88" t="n">
        <v>641</v>
      </c>
      <c r="W161" s="95" t="n">
        <v>46307</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94.98999999999999</v>
      </c>
      <c r="AV161" s="98" t="inlineStr">
        <is>
          <t>none</t>
        </is>
      </c>
      <c r="AW161" s="98" t="inlineStr">
        <is>
          <t>Y</t>
        </is>
      </c>
      <c r="AX161" s="98" t="inlineStr">
        <is>
          <t>2026-10-13 23:35:47</t>
        </is>
      </c>
      <c r="AY161" s="100" t="inlineStr">
        <is>
          <t>Prime Exclusive Discount</t>
        </is>
      </c>
      <c r="AZ161" s="100" t="inlineStr">
        <is>
          <t>11-24 to 12-01</t>
        </is>
      </c>
      <c r="BA161" s="101" t="n">
        <v>104.99</v>
      </c>
      <c r="BB161" s="101" t="n">
        <v>83.98999999999999</v>
      </c>
      <c r="BC161" s="90">
        <f>IF(AND(ISNUMBER(BA161),ISNUMBER(BB161),N(BA161)&gt;0),1-BB161/BA161,"")</f>
        <v/>
      </c>
      <c r="BD161" s="102" t="n">
        <v>99218</v>
      </c>
      <c r="BE161" s="102" t="n">
        <v>70530</v>
      </c>
      <c r="BF161" s="103">
        <f>IF(AND(ISNUMBER(BD161),ISNUMBER(BE161),N(BE161)&gt;0),BD161/BE161,"")</f>
        <v/>
      </c>
      <c r="BG161" s="100" t="inlineStr">
        <is>
          <t>N</t>
        </is>
      </c>
      <c r="BH161" s="100" t="inlineStr">
        <is>
          <t>Coupon 40.00 USD (11-01 to 11-10); List Price $129.99</t>
        </is>
      </c>
    </row>
    <row r="162" ht="62" customHeight="1">
      <c r="A162" s="10">
        <f>_xlfn.IMAGE("https://images-na.ssl-images-amazon.com/images/I/61imzycbiwL.jpg")</f>
        <v/>
      </c>
      <c r="B162" s="86" t="inlineStr">
        <is>
          <t>JSD</t>
        </is>
      </c>
      <c r="C162" s="32" t="inlineStr">
        <is>
          <t>JSD Sage Green 100% Viscose Derived from Bamboo Cooling Sheet Set Queen</t>
        </is>
      </c>
      <c r="D162" s="86" t="inlineStr">
        <is>
          <t>Poor</t>
        </is>
      </c>
      <c r="E162" s="87" t="inlineStr">
        <is>
          <t>B0DTY15N29</t>
        </is>
      </c>
      <c r="F162" s="87" t="inlineStr">
        <is>
          <t>B0DSZTLBV1</t>
        </is>
      </c>
      <c r="G162" s="86" t="inlineStr">
        <is>
          <t>Queen</t>
        </is>
      </c>
      <c r="H162" s="86" t="inlineStr">
        <is>
          <t>Green</t>
        </is>
      </c>
      <c r="I162" s="88" t="n">
        <v>32</v>
      </c>
      <c r="J162" s="32" t="inlineStr"/>
      <c r="K162" s="89" t="n">
        <v>56.99</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15 children</t>
        </is>
      </c>
      <c r="R162" s="88" t="n">
        <v>76312</v>
      </c>
      <c r="S162" s="88" t="n">
        <v>18</v>
      </c>
      <c r="T162" s="93">
        <f>IF(AND(ISNUMBER(K162),ISNUMBER(S162)),K162*S162*52/12,"")</f>
        <v/>
      </c>
      <c r="U162" s="94" t="n">
        <v>4.3</v>
      </c>
      <c r="V162" s="88" t="n">
        <v>281</v>
      </c>
      <c r="W162" s="95" t="n">
        <v>46307</v>
      </c>
      <c r="X162" s="95" t="n">
        <v>45671</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56.99</v>
      </c>
      <c r="AV162" s="98" t="inlineStr">
        <is>
          <t>none</t>
        </is>
      </c>
      <c r="AW162" s="98" t="inlineStr">
        <is>
          <t>Y</t>
        </is>
      </c>
      <c r="AX162" s="98" t="inlineStr">
        <is>
          <t>2026-10-13 23:36:24</t>
        </is>
      </c>
      <c r="AY162" s="100" t="inlineStr">
        <is>
          <t>None</t>
        </is>
      </c>
      <c r="AZ162" s="105" t="n"/>
      <c r="BA162" s="101" t="n">
        <v>56.99</v>
      </c>
      <c r="BB162" s="101" t="n">
        <v>56.99</v>
      </c>
      <c r="BC162" s="90">
        <f>IF(AND(ISNUMBER(BA162),ISNUMBER(BB162),N(BA162)&gt;0),1-BB162/BA162,"")</f>
        <v/>
      </c>
      <c r="BD162" s="102" t="n">
        <v>97969</v>
      </c>
      <c r="BE162" s="102" t="n">
        <v>108941</v>
      </c>
      <c r="BF162" s="103">
        <f>IF(AND(ISNUMBER(BD162),ISNUMBER(BE162),N(BE162)&gt;0),BD162/BE162,"")</f>
        <v/>
      </c>
      <c r="BG162" s="100" t="inlineStr">
        <is>
          <t>N</t>
        </is>
      </c>
      <c r="BH162" s="100" t="inlineStr">
        <is>
          <t>Coupon 5% (11-01 to 11-17); List Price $74.99</t>
        </is>
      </c>
    </row>
    <row r="163" ht="62" customHeight="1">
      <c r="A163" s="10">
        <f>_xlfn.IMAGE("https://images-na.ssl-images-amazon.com/images/I/71zrq2AtnUL.jpg")</f>
        <v/>
      </c>
      <c r="B163" s="86" t="inlineStr">
        <is>
          <t>Kickoff Home</t>
        </is>
      </c>
      <c r="C163" s="32" t="inlineStr">
        <is>
          <t>Bamboo Sheets</t>
        </is>
      </c>
      <c r="D163" s="86" t="inlineStr">
        <is>
          <t>Poor</t>
        </is>
      </c>
      <c r="E163" s="87" t="inlineStr">
        <is>
          <t>B0D4KS4MVX</t>
        </is>
      </c>
      <c r="F163" s="87" t="inlineStr">
        <is>
          <t>B0CHN5ZPFH</t>
        </is>
      </c>
      <c r="G163" s="86" t="inlineStr">
        <is>
          <t>King</t>
        </is>
      </c>
      <c r="H163" s="86" t="inlineStr">
        <is>
          <t>Sage Green</t>
        </is>
      </c>
      <c r="I163" s="88" t="n">
        <v>106</v>
      </c>
      <c r="J163" s="32" t="inlineStr">
        <is>
          <t>B0CHN5ZPFH (27%), B0CHN6N986 (11%), B0G84K7MZQ (9%), B0G84MQQX4 (8%), B0CHN4BSZP (5%)</t>
        </is>
      </c>
      <c r="K163" s="89" t="n">
        <v>86.98999999999999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15 children</t>
        </is>
      </c>
      <c r="R163" s="88" t="n">
        <v>23579</v>
      </c>
      <c r="S163" s="88" t="n">
        <v>18</v>
      </c>
      <c r="T163" s="93">
        <f>IF(AND(ISNUMBER(K163),ISNUMBER(S163)),K163*S163*52/12,"")</f>
        <v/>
      </c>
      <c r="U163" s="94" t="n">
        <v>4.6</v>
      </c>
      <c r="V163" s="88" t="n">
        <v>688</v>
      </c>
      <c r="W163" s="95" t="n">
        <v>46307</v>
      </c>
      <c r="X163" s="95" t="n"/>
      <c r="Y163" s="86" t="n"/>
      <c r="Z163" s="86" t="n"/>
      <c r="AA163" s="88" t="n">
        <v>58169</v>
      </c>
      <c r="AB163" s="88" t="n">
        <v>1164</v>
      </c>
      <c r="AC163" s="96" t="n">
        <v>0.8765498702057799</v>
      </c>
      <c r="AD163" s="96" t="n">
        <v>0.12345023981846</v>
      </c>
      <c r="AE163" s="32" t="inlineStr">
        <is>
          <t>bamboo sheets</t>
        </is>
      </c>
      <c r="AF163" s="96" t="n">
        <v>0.6749987106534409</v>
      </c>
      <c r="AG163" s="96" t="n"/>
      <c r="AH163" s="96" t="n">
        <v>0.08715982739947395</v>
      </c>
      <c r="AI163" s="96" t="n">
        <v>0.0003782083240213859</v>
      </c>
      <c r="AJ163" s="88" t="n">
        <v>644</v>
      </c>
      <c r="AK163" s="88" t="n">
        <v>330</v>
      </c>
      <c r="AL163" s="88" t="n">
        <v>218</v>
      </c>
      <c r="AM163" s="88" t="n">
        <v>520</v>
      </c>
      <c r="AN163" s="88" t="n">
        <v>54</v>
      </c>
      <c r="AO163" s="88" t="n">
        <v>35</v>
      </c>
      <c r="AP163" s="97" t="n"/>
      <c r="AQ163" s="92" t="n"/>
      <c r="AR163" s="98" t="inlineStr">
        <is>
          <t>N</t>
        </is>
      </c>
      <c r="AS163" s="98" t="inlineStr">
        <is>
          <t>none</t>
        </is>
      </c>
      <c r="AT163" s="104" t="n"/>
      <c r="AU163" s="99" t="n">
        <v>86.98999999999999</v>
      </c>
      <c r="AV163" s="98" t="inlineStr">
        <is>
          <t>none</t>
        </is>
      </c>
      <c r="AW163" s="98" t="inlineStr">
        <is>
          <t>Y</t>
        </is>
      </c>
      <c r="AX163" s="98" t="inlineStr">
        <is>
          <t>2026-10-13 23:36:30</t>
        </is>
      </c>
      <c r="AY163" s="100" t="inlineStr">
        <is>
          <t>Price cut only</t>
        </is>
      </c>
      <c r="AZ163" s="100" t="inlineStr">
        <is>
          <t>11-21 to 12-01</t>
        </is>
      </c>
      <c r="BA163" s="101" t="n">
        <v>118.99</v>
      </c>
      <c r="BB163" s="101" t="n">
        <v>79.13</v>
      </c>
      <c r="BC163" s="90">
        <f>IF(AND(ISNUMBER(BA163),ISNUMBER(BB163),N(BA163)&gt;0),1-BB163/BA163,"")</f>
        <v/>
      </c>
      <c r="BD163" s="102" t="n">
        <v>70541</v>
      </c>
      <c r="BE163" s="102" t="n">
        <v>28546</v>
      </c>
      <c r="BF163" s="103">
        <f>IF(AND(ISNUMBER(BD163),ISNUMBER(BE163),N(BE163)&gt;0),BD163/BE163,"")</f>
        <v/>
      </c>
      <c r="BG163" s="100" t="inlineStr">
        <is>
          <t>N</t>
        </is>
      </c>
      <c r="BH163" s="100" t="inlineStr">
        <is>
          <t>Coupon 25% (11-01 to 11-05); List Price $124.99</t>
        </is>
      </c>
    </row>
    <row r="164" ht="62" customHeight="1">
      <c r="A164" s="10">
        <f>_xlfn.IMAGE("https://m.media-amazon.com/images/I/81xjJeiirqL._AC_SL1500_.jpg")</f>
        <v/>
      </c>
      <c r="B164" s="86" t="inlineStr">
        <is>
          <t>LB Luxury Bamboo Market</t>
        </is>
      </c>
      <c r="C164" s="32" t="inlineStr">
        <is>
          <t>Bamboo Sheets</t>
        </is>
      </c>
      <c r="D164" s="86" t="inlineStr">
        <is>
          <t>Poor</t>
        </is>
      </c>
      <c r="E164" s="87" t="inlineStr">
        <is>
          <t>B0D1HWHDL2</t>
        </is>
      </c>
      <c r="F164" s="87" t="inlineStr">
        <is>
          <t>B0CH7N9WVC</t>
        </is>
      </c>
      <c r="G164" s="86" t="inlineStr">
        <is>
          <t>Queen</t>
        </is>
      </c>
      <c r="H164" s="86" t="inlineStr">
        <is>
          <t>Dune</t>
        </is>
      </c>
      <c r="I164" s="88" t="n"/>
      <c r="J164" s="32" t="inlineStr"/>
      <c r="K164" s="89" t="n">
        <v>129.94</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15 children</t>
        </is>
      </c>
      <c r="R164" s="88" t="n">
        <v>47800</v>
      </c>
      <c r="S164" s="88" t="n">
        <v>18</v>
      </c>
      <c r="T164" s="93">
        <f>IF(AND(ISNUMBER(K164),ISNUMBER(S164)),K164*S164*52/12,"")</f>
        <v/>
      </c>
      <c r="U164" s="94" t="n">
        <v>4.5</v>
      </c>
      <c r="V164" s="88" t="n">
        <v>517</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129.94</v>
      </c>
      <c r="AV164" s="98" t="inlineStr">
        <is>
          <t>none</t>
        </is>
      </c>
      <c r="AW164" s="98" t="inlineStr">
        <is>
          <t>Y</t>
        </is>
      </c>
      <c r="AX164" s="98" t="inlineStr">
        <is>
          <t>2026-10-13 23:36:34</t>
        </is>
      </c>
      <c r="AY164" s="100" t="inlineStr">
        <is>
          <t>Prime Exclusive Discount</t>
        </is>
      </c>
      <c r="AZ164" s="100" t="inlineStr">
        <is>
          <t>11-26 to 12-01</t>
        </is>
      </c>
      <c r="BA164" s="101" t="n">
        <v>119.94</v>
      </c>
      <c r="BB164" s="101" t="n">
        <v>103.95</v>
      </c>
      <c r="BC164" s="90">
        <f>IF(AND(ISNUMBER(BA164),ISNUMBER(BB164),N(BA164)&gt;0),1-BB164/BA164,"")</f>
        <v/>
      </c>
      <c r="BD164" s="102" t="n">
        <v>73868</v>
      </c>
      <c r="BE164" s="102" t="n">
        <v>96746</v>
      </c>
      <c r="BF164" s="103">
        <f>IF(AND(ISNUMBER(BD164),ISNUMBER(BE164),N(BE164)&gt;0),BD164/BE164,"")</f>
        <v/>
      </c>
      <c r="BG164" s="100" t="inlineStr">
        <is>
          <t>N</t>
        </is>
      </c>
      <c r="BH164" s="100" t="inlineStr">
        <is>
          <t>List Price $159.94</t>
        </is>
      </c>
    </row>
    <row r="165" ht="62" customHeight="1">
      <c r="A165" s="10">
        <f>_xlfn.IMAGE("https://images-na.ssl-images-amazon.com/images/I/71NxE1i+4jL.jpg")</f>
        <v/>
      </c>
      <c r="B165" s="86" t="inlineStr">
        <is>
          <t>Shilucheng</t>
        </is>
      </c>
      <c r="C165" s="32" t="inlineStr">
        <is>
          <t>Shilucheng 100% Viscose Derived from Bamboo_Sheets, Extra Deep Pocket</t>
        </is>
      </c>
      <c r="D165" s="86" t="inlineStr">
        <is>
          <t>Poor</t>
        </is>
      </c>
      <c r="E165" s="87" t="inlineStr">
        <is>
          <t>B0HJVD7X1R</t>
        </is>
      </c>
      <c r="F165" s="87" t="inlineStr">
        <is>
          <t>B0F2TBWTZR</t>
        </is>
      </c>
      <c r="G165" s="86" t="inlineStr">
        <is>
          <t>King</t>
        </is>
      </c>
      <c r="H165" s="86" t="inlineStr">
        <is>
          <t>Dark Grey</t>
        </is>
      </c>
      <c r="I165" s="88" t="n">
        <v>32</v>
      </c>
      <c r="J165" s="32" t="inlineStr"/>
      <c r="K165" s="89" t="n">
        <v>69.98999999999999</v>
      </c>
      <c r="L165" s="89" t="n">
        <v>84.98999999999999</v>
      </c>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(King). Ours live: Helium 10 Xray, 2026-10-13; 15 children</t>
        </is>
      </c>
      <c r="R165" s="88" t="n">
        <v>39194</v>
      </c>
      <c r="S165" s="88" t="n">
        <v>18</v>
      </c>
      <c r="T165" s="93">
        <f>IF(AND(ISNUMBER(K165),ISNUMBER(S165)),K165*S165*52/12,"")</f>
        <v/>
      </c>
      <c r="U165" s="94" t="n">
        <v>4.5</v>
      </c>
      <c r="V165" s="88" t="n">
        <v>1639</v>
      </c>
      <c r="W165" s="95" t="n">
        <v>46307</v>
      </c>
      <c r="X165" s="95" t="n">
        <v>45744</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v>-0.9655172413793104</v>
      </c>
      <c r="AR165" s="98" t="inlineStr">
        <is>
          <t>Y</t>
        </is>
      </c>
      <c r="AS165" s="98" t="inlineStr">
        <is>
          <t>List Price</t>
        </is>
      </c>
      <c r="AT165" s="99" t="n">
        <v>84.98999999999999</v>
      </c>
      <c r="AU165" s="99" t="n">
        <v>69.98999999999999</v>
      </c>
      <c r="AV165" s="98" t="inlineStr">
        <is>
          <t>Limited time deal</t>
        </is>
      </c>
      <c r="AW165" s="98" t="inlineStr">
        <is>
          <t>Y</t>
        </is>
      </c>
      <c r="AX165" s="98" t="inlineStr">
        <is>
          <t>2026-10-13 23:36:52</t>
        </is>
      </c>
      <c r="AY165" s="100" t="inlineStr">
        <is>
          <t>Prime Exclusive Discount</t>
        </is>
      </c>
      <c r="AZ165" s="100" t="inlineStr">
        <is>
          <t>11-21 to 12-01</t>
        </is>
      </c>
      <c r="BA165" s="101" t="n">
        <v>84.98999999999999</v>
      </c>
      <c r="BB165" s="101" t="n">
        <v>64.59</v>
      </c>
      <c r="BC165" s="90">
        <f>IF(AND(ISNUMBER(BA165),ISNUMBER(BB165),N(BA165)&gt;0),1-BB165/BA165,"")</f>
        <v/>
      </c>
      <c r="BD165" s="102" t="n">
        <v>28104</v>
      </c>
      <c r="BE165" s="102" t="n">
        <v>38474</v>
      </c>
      <c r="BF165" s="103">
        <f>IF(AND(ISNUMBER(BD165),ISNUMBER(BE165),N(BE165)&gt;0),BD165/BE165,"")</f>
        <v/>
      </c>
      <c r="BG165" s="100" t="inlineStr">
        <is>
          <t>N</t>
        </is>
      </c>
      <c r="BH165" s="100" t="inlineStr">
        <is>
          <t>Coupon 20% (11-02 to 11-12); List Price $84.99</t>
        </is>
      </c>
    </row>
    <row r="166" ht="62" customHeight="1">
      <c r="A166" s="10">
        <f>_xlfn.IMAGE("https://m.media-amazon.com/images/I/61YnWQV27EL._AC_SL1024_.jpg")</f>
        <v/>
      </c>
      <c r="B166" s="86" t="inlineStr">
        <is>
          <t>Bamboo Bay</t>
        </is>
      </c>
      <c r="C166" s="32" t="inlineStr">
        <is>
          <t>Bamboo Sheets</t>
        </is>
      </c>
      <c r="D166" s="86" t="inlineStr">
        <is>
          <t>Poor</t>
        </is>
      </c>
      <c r="E166" s="87" t="inlineStr">
        <is>
          <t>B0DLF1SWJ5</t>
        </is>
      </c>
      <c r="F166" s="87" t="inlineStr">
        <is>
          <t>B07TBHLZJM</t>
        </is>
      </c>
      <c r="G166" s="86" t="inlineStr">
        <is>
          <t>Queen</t>
        </is>
      </c>
      <c r="H166" s="86" t="inlineStr">
        <is>
          <t>04 - Light Grey</t>
        </is>
      </c>
      <c r="I166" s="88" t="n"/>
      <c r="J166" s="32" t="inlineStr"/>
      <c r="K166" s="89" t="n">
        <v>79.98</v>
      </c>
      <c r="L166" s="89" t="n"/>
      <c r="M166" s="90">
        <f>IF(AND(ISNUMBER(L166),ISNUMBER(K166),N(K166)&gt;0),L166/K166-1,"")</f>
        <v/>
      </c>
      <c r="N166" s="91">
        <f>IF(M166="","No List Price",IF(M166&lt;=0,"At/below price",IF(M166&lt;=0.12,"&lt;=12% STR zone",IF(M166&lt;=0.25,"12-25%","&gt;25% over"))))</f>
        <v/>
      </c>
      <c r="O166" s="89" t="n">
        <v>89.98999999999999</v>
      </c>
      <c r="P166" s="92">
        <f>IF(AND(ISNUMBER(K166),ISNUMBER(O166),N(O166)&gt;0),K166/O166-1,"")</f>
        <v/>
      </c>
      <c r="Q166" s="32" t="inlineStr">
        <is>
          <t>Same size (Queen). Ours live: Helium 10 Xray, 2026-10-13; 15 children</t>
        </is>
      </c>
      <c r="R166" s="88" t="n">
        <v>131083</v>
      </c>
      <c r="S166" s="88" t="n">
        <v>5</v>
      </c>
      <c r="T166" s="93">
        <f>IF(AND(ISNUMBER(K166),ISNUMBER(S166)),K166*S166*52/12,"")</f>
        <v/>
      </c>
      <c r="U166" s="94" t="n">
        <v>4.5</v>
      </c>
      <c r="V166" s="88" t="n">
        <v>2691</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79.98</v>
      </c>
      <c r="AV166" s="98" t="inlineStr">
        <is>
          <t>none</t>
        </is>
      </c>
      <c r="AW166" s="98" t="inlineStr">
        <is>
          <t>Y</t>
        </is>
      </c>
      <c r="AX166" s="98" t="inlineStr">
        <is>
          <t>2026-10-13 23:35:44</t>
        </is>
      </c>
      <c r="AY166" s="100" t="inlineStr">
        <is>
          <t>None</t>
        </is>
      </c>
      <c r="AZ166" s="105" t="n"/>
      <c r="BA166" s="101" t="n">
        <v>86.98999999999999</v>
      </c>
      <c r="BB166" s="101" t="n">
        <v>93.48</v>
      </c>
      <c r="BC166" s="90">
        <f>IF(AND(ISNUMBER(BA166),ISNUMBER(BB166),N(BA166)&gt;0),1-BB166/BA166,"")</f>
        <v/>
      </c>
      <c r="BD166" s="102" t="n">
        <v>43439</v>
      </c>
      <c r="BE166" s="102" t="n">
        <v>53047</v>
      </c>
      <c r="BF166" s="103">
        <f>IF(AND(ISNUMBER(BD166),ISNUMBER(BE166),N(BE166)&gt;0),BD166/BE166,"")</f>
        <v/>
      </c>
      <c r="BG166" s="100" t="inlineStr">
        <is>
          <t>N</t>
        </is>
      </c>
      <c r="BH166" s="100" t="inlineStr">
        <is>
          <t>Buy Box RAISED in BFCM week (median $109.98 vs $86.99 before); List Price $129.98</t>
        </is>
      </c>
    </row>
    <row r="167" ht="62" customHeight="1">
      <c r="A167" s="10">
        <f>_xlfn.IMAGE("https://m.media-amazon.com/images/I/61se+-YHOaL._AC_SL1500_.jpg")</f>
        <v/>
      </c>
      <c r="B167" s="86" t="inlineStr">
        <is>
          <t>LBRO2M</t>
        </is>
      </c>
      <c r="C167" s="32" t="inlineStr">
        <is>
          <t>LBRO2M Cooling Bed Sheet 100% Viscose Derived from Bamboo Sheet Set Queen Size 6</t>
        </is>
      </c>
      <c r="D167" s="86" t="inlineStr">
        <is>
          <t>Poor</t>
        </is>
      </c>
      <c r="E167" s="87" t="inlineStr">
        <is>
          <t>B0F9FK3L6J</t>
        </is>
      </c>
      <c r="F167" s="87" t="inlineStr">
        <is>
          <t>B0F9FK7SMW</t>
        </is>
      </c>
      <c r="G167" s="86" t="inlineStr">
        <is>
          <t>King 6 Pcs</t>
        </is>
      </c>
      <c r="H167" s="86" t="inlineStr">
        <is>
          <t>White</t>
        </is>
      </c>
      <c r="I167" s="88" t="n"/>
      <c r="J167" s="32" t="inlineStr"/>
      <c r="K167" s="89" t="n">
        <v>94.98999999999999</v>
      </c>
      <c r="L167" s="89" t="n"/>
      <c r="M167" s="90">
        <f>IF(AND(ISNUMBER(L167),ISNUMBER(K167),N(K167)&gt;0),L167/K167-1,"")</f>
        <v/>
      </c>
      <c r="N167" s="91">
        <f>IF(M167="","No List Price",IF(M167&lt;=0,"At/below price",IF(M167&lt;=0.12,"&lt;=12% STR zone",IF(M167&lt;=0.25,"12-25%","&gt;25% over"))))</f>
        <v/>
      </c>
      <c r="O167" s="89" t="n">
        <v>80.69429159318052</v>
      </c>
      <c r="P167" s="92">
        <f>IF(AND(ISNUMBER(K167),ISNUMBER(O167),N(O167)&gt;0),K167/O167-1,"")</f>
        <v/>
      </c>
      <c r="Q167" s="32" t="inlineStr">
        <is>
          <t>vs our blended price (Command Center, Mar 2026 - STALE)</t>
        </is>
      </c>
      <c r="R167" s="88" t="n">
        <v>1003118</v>
      </c>
      <c r="S167" s="88" t="n">
        <v>5</v>
      </c>
      <c r="T167" s="93">
        <f>IF(AND(ISNUMBER(K167),ISNUMBER(S167)),K167*S167*52/12,"")</f>
        <v/>
      </c>
      <c r="U167" s="94" t="n">
        <v>4.4</v>
      </c>
      <c r="V167" s="88" t="n">
        <v>18</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23:36:36</t>
        </is>
      </c>
      <c r="AY167" s="100" t="inlineStr">
        <is>
          <t>Prime Exclusive Discount</t>
        </is>
      </c>
      <c r="AZ167" s="100" t="inlineStr">
        <is>
          <t>11-22 to 12-01</t>
        </is>
      </c>
      <c r="BA167" s="101" t="n">
        <v>95.98999999999999</v>
      </c>
      <c r="BB167" s="101" t="n">
        <v>67.19</v>
      </c>
      <c r="BC167" s="90">
        <f>IF(AND(ISNUMBER(BA167),ISNUMBER(BB167),N(BA167)&gt;0),1-BB167/BA167,"")</f>
        <v/>
      </c>
      <c r="BD167" s="102" t="n">
        <v>114176</v>
      </c>
      <c r="BE167" s="102" t="n">
        <v>68746</v>
      </c>
      <c r="BF167" s="103">
        <f>IF(AND(ISNUMBER(BD167),ISNUMBER(BE167),N(BE167)&gt;0),BD167/BE167,"")</f>
        <v/>
      </c>
      <c r="BG167" s="100" t="inlineStr">
        <is>
          <t>N</t>
        </is>
      </c>
      <c r="BH167" s="100" t="inlineStr">
        <is>
          <t>Lightning Deal 11-01 to 11-01; List Price $179.97</t>
        </is>
      </c>
    </row>
    <row r="168" ht="62" customHeight="1">
      <c r="A168" s="10">
        <f>_xlfn.IMAGE("https://images-na.ssl-images-amazon.com/images/I/71YlZk0Q9-L.jpg")</f>
        <v/>
      </c>
      <c r="B168" s="86" t="inlineStr">
        <is>
          <t>TWK</t>
        </is>
      </c>
      <c r="C168" s="32" t="inlineStr">
        <is>
          <t>TWK Luxury Sheet Set, Genuine 100% Viscose Derived from Bamboo, Cooling &amp; Breathable, Silky Soft, Bedding Sheets &amp; Pillowcases (White, King(78 * 80 * 15))</t>
        </is>
      </c>
      <c r="D168" s="86" t="inlineStr">
        <is>
          <t>Poor</t>
        </is>
      </c>
      <c r="E168" s="87" t="inlineStr">
        <is>
          <t>B0GVP3B7LS</t>
        </is>
      </c>
      <c r="F168" s="87" t="inlineStr">
        <is>
          <t>B0GVP3B7LS</t>
        </is>
      </c>
      <c r="G168" s="86" t="inlineStr">
        <is>
          <t>King</t>
        </is>
      </c>
      <c r="H168" s="86" t="inlineStr">
        <is>
          <t>White</t>
        </is>
      </c>
      <c r="I168" s="88" t="n">
        <v>1</v>
      </c>
      <c r="J168" s="32" t="inlineStr"/>
      <c r="K168" s="89" t="n">
        <v>46.74</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15 children</t>
        </is>
      </c>
      <c r="R168" s="88" t="n">
        <v>2065761</v>
      </c>
      <c r="S168" s="88" t="n">
        <v>5</v>
      </c>
      <c r="T168" s="93">
        <f>IF(AND(ISNUMBER(K168),ISNUMBER(S168)),K168*S168*52/12,"")</f>
        <v/>
      </c>
      <c r="U168" s="94" t="n">
        <v>4.5</v>
      </c>
      <c r="V168" s="88" t="n">
        <v>11</v>
      </c>
      <c r="W168" s="95" t="n">
        <v>46307</v>
      </c>
      <c r="X168" s="95" t="n">
        <v>46078</v>
      </c>
      <c r="Y168" s="86" t="inlineStr">
        <is>
          <t>FBM</t>
        </is>
      </c>
      <c r="Z168" s="86" t="inlineStr">
        <is>
          <t>N/A</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23:36:57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_xlfn.IMAGE("https://images-na.ssl-images-amazon.com/images/I/71gw0WpuNuL.jpg")</f>
        <v/>
      </c>
      <c r="B169" s="86" t="inlineStr">
        <is>
          <t>TWK</t>
        </is>
      </c>
      <c r="C169" s="32" t="inlineStr">
        <is>
          <t>TWK Luxury Sheet Set, Genuine 100% Organic Viscose Derived from Bamboo, Cooling &amp; Breathable, Silky Soft, Bedding Sheets &amp; Pillowcases (Mist Gray, King)</t>
        </is>
      </c>
      <c r="D169" s="86" t="inlineStr">
        <is>
          <t>Poor</t>
        </is>
      </c>
      <c r="E169" s="87" t="inlineStr">
        <is>
          <t>B0DYT2QWLC</t>
        </is>
      </c>
      <c r="F169" s="87" t="inlineStr">
        <is>
          <t>B0DYT2QWLC</t>
        </is>
      </c>
      <c r="G169" s="86" t="inlineStr">
        <is>
          <t>King</t>
        </is>
      </c>
      <c r="H169" s="86" t="inlineStr">
        <is>
          <t>Mist Gray</t>
        </is>
      </c>
      <c r="I169" s="88" t="n">
        <v>1</v>
      </c>
      <c r="J169" s="32" t="inlineStr"/>
      <c r="K169" s="89" t="n">
        <v>109.99</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(King). Ours live: Helium 10 Xray, 2026-10-13; 15 children</t>
        </is>
      </c>
      <c r="R169" s="88" t="n">
        <v>1506045</v>
      </c>
      <c r="S169" s="88" t="n">
        <v>5</v>
      </c>
      <c r="T169" s="93">
        <f>IF(AND(ISNUMBER(K169),ISNUMBER(S169)),K169*S169*52/12,"")</f>
        <v/>
      </c>
      <c r="U169" s="94" t="n">
        <v>4.5</v>
      </c>
      <c r="V169" s="88" t="n">
        <v>39</v>
      </c>
      <c r="W169" s="95" t="n">
        <v>46307</v>
      </c>
      <c r="X169" s="95" t="n">
        <v>45716</v>
      </c>
      <c r="Y169" s="86" t="inlineStr">
        <is>
          <t>FBM</t>
        </is>
      </c>
      <c r="Z169" s="86" t="inlineStr">
        <is>
          <t>N/A</t>
        </is>
      </c>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104" t="n"/>
      <c r="AV169" s="98" t="inlineStr">
        <is>
          <t>none</t>
        </is>
      </c>
      <c r="AW169" s="98" t="inlineStr">
        <is>
          <t>N</t>
        </is>
      </c>
      <c r="AX169" s="98" t="inlineStr">
        <is>
          <t>2026-10-13 23:37:00</t>
        </is>
      </c>
      <c r="AY169" s="100" t="inlineStr">
        <is>
          <t>Coupon only</t>
        </is>
      </c>
      <c r="AZ169" s="100" t="inlineStr">
        <is>
          <t>11-20 to 12-05</t>
        </is>
      </c>
      <c r="BA169" s="101" t="n">
        <v>69</v>
      </c>
      <c r="BB169" s="101" t="n">
        <v>74</v>
      </c>
      <c r="BC169" s="90">
        <f>IF(AND(ISNUMBER(BA169),ISNUMBER(BB169),N(BA169)&gt;0),1-BB169/BA169,"")</f>
        <v/>
      </c>
      <c r="BD169" s="102" t="n">
        <v>46533</v>
      </c>
      <c r="BE169" s="102" t="n">
        <v>67944</v>
      </c>
      <c r="BF169" s="103">
        <f>IF(AND(ISNUMBER(BD169),ISNUMBER(BE169),N(BE169)&gt;0),BD169/BE169,"")</f>
        <v/>
      </c>
      <c r="BG169" s="100" t="inlineStr">
        <is>
          <t>N</t>
        </is>
      </c>
      <c r="BH169" s="100" t="inlineStr">
        <is>
          <t>Coupon 30%; Buy Box RAISED in BFCM week (median $79.00 vs $69.00 before); List Price $69.00</t>
        </is>
      </c>
    </row>
    <row r="170" ht="62" customHeight="1">
      <c r="A170" s="10">
        <f>_xlfn.IMAGE("https://m.media-amazon.com/images/I/61cLtklNnOL._AC_SL1486_.jpg")</f>
        <v/>
      </c>
      <c r="B170" s="86" t="inlineStr">
        <is>
          <t>TWK</t>
        </is>
      </c>
      <c r="C170" s="32" t="inlineStr">
        <is>
          <t>4 Piece Bamboo Sheet Set</t>
        </is>
      </c>
      <c r="D170" s="86" t="inlineStr">
        <is>
          <t>Poor</t>
        </is>
      </c>
      <c r="E170" s="87" t="inlineStr">
        <is>
          <t>B0GW7H7RHY</t>
        </is>
      </c>
      <c r="F170" s="87" t="inlineStr">
        <is>
          <t>B0GW7H7RHY</t>
        </is>
      </c>
      <c r="G170" s="86" t="inlineStr">
        <is>
          <t>King</t>
        </is>
      </c>
      <c r="H170" s="86" t="inlineStr">
        <is>
          <t>Sand</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15 children</t>
        </is>
      </c>
      <c r="R170" s="88" t="n">
        <v>4355899</v>
      </c>
      <c r="S170" s="88" t="n">
        <v>5</v>
      </c>
      <c r="T170" s="93">
        <f>IF(AND(ISNUMBER(K170),ISNUMBER(S170)),K170*S170*52/12,"")</f>
        <v/>
      </c>
      <c r="U170" s="94" t="n">
        <v>4.5</v>
      </c>
      <c r="V170" s="88" t="n">
        <v>2</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23:37:03</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5" t="n"/>
    </row>
    <row r="171" ht="62" customHeight="1">
      <c r="A171" s="10">
        <f>_xlfn.IMAGE("https://m.media-amazon.com/images/I/619JGLN3FDL._AC_SL1080_.jpg")</f>
        <v/>
      </c>
      <c r="B171" s="86" t="inlineStr">
        <is>
          <t>Vesta</t>
        </is>
      </c>
      <c r="C171" s="32" t="inlineStr">
        <is>
          <t>Vesta Sheet Set – Soft, Breathable &amp; Cooling, 100% Viscose Derived from Bamboo,</t>
        </is>
      </c>
      <c r="D171" s="86" t="inlineStr">
        <is>
          <t>Poor</t>
        </is>
      </c>
      <c r="E171" s="87" t="inlineStr">
        <is>
          <t>B0CZRJY68B</t>
        </is>
      </c>
      <c r="F171" s="87" t="inlineStr">
        <is>
          <t>B0DM214YG3</t>
        </is>
      </c>
      <c r="G171" s="86" t="inlineStr">
        <is>
          <t>King/Cali King</t>
        </is>
      </c>
      <c r="H171" s="86" t="inlineStr">
        <is>
          <t>Terra Cotta</t>
        </is>
      </c>
      <c r="I171" s="88" t="n"/>
      <c r="J171" s="32" t="inlineStr"/>
      <c r="K171" s="89" t="n">
        <v>174.3</v>
      </c>
      <c r="L171" s="89" t="n"/>
      <c r="M171" s="90">
        <f>IF(AND(ISNUMBER(L171),ISNUMBER(K171),N(K171)&gt;0),L171/K171-1,"")</f>
        <v/>
      </c>
      <c r="N171" s="91">
        <f>IF(M171="","No List Price",IF(M171&lt;=0,"At/below price",IF(M171&lt;=0.12,"&lt;=12% STR zone",IF(M171&lt;=0.25,"12-25%","&gt;25% over"))))</f>
        <v/>
      </c>
      <c r="O171" s="89" t="n">
        <v>80.69429159318052</v>
      </c>
      <c r="P171" s="92">
        <f>IF(AND(ISNUMBER(K171),ISNUMBER(O171),N(O171)&gt;0),K171/O171-1,"")</f>
        <v/>
      </c>
      <c r="Q171" s="32" t="inlineStr">
        <is>
          <t>vs our blended price (Command Center, Mar 2026 - STALE)</t>
        </is>
      </c>
      <c r="R171" s="88" t="n">
        <v>591414</v>
      </c>
      <c r="S171" s="88" t="n">
        <v>5</v>
      </c>
      <c r="T171" s="93">
        <f>IF(AND(ISNUMBER(K171),ISNUMBER(S171)),K171*S171*52/12,"")</f>
        <v/>
      </c>
      <c r="U171" s="94" t="n">
        <v>4.3</v>
      </c>
      <c r="V171" s="88" t="n">
        <v>35</v>
      </c>
      <c r="W171" s="95" t="n">
        <v>46307</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174.3</v>
      </c>
      <c r="AV171" s="98" t="inlineStr">
        <is>
          <t>none</t>
        </is>
      </c>
      <c r="AW171" s="98" t="inlineStr">
        <is>
          <t>Y</t>
        </is>
      </c>
      <c r="AX171" s="98" t="inlineStr">
        <is>
          <t>2026-10-13 23:37:06</t>
        </is>
      </c>
      <c r="AY171" s="100" t="inlineStr">
        <is>
          <t>None</t>
        </is>
      </c>
      <c r="AZ171" s="105" t="n"/>
      <c r="BA171" s="101" t="n">
        <v>174.3</v>
      </c>
      <c r="BB171" s="101" t="n">
        <v>174.3</v>
      </c>
      <c r="BC171" s="90">
        <f>IF(AND(ISNUMBER(BA171),ISNUMBER(BB171),N(BA171)&gt;0),1-BB171/BA171,"")</f>
        <v/>
      </c>
      <c r="BD171" s="102" t="n">
        <v>1047082</v>
      </c>
      <c r="BE171" s="102" t="n">
        <v>909398</v>
      </c>
      <c r="BF171" s="103">
        <f>IF(AND(ISNUMBER(BD171),ISNUMBER(BE171),N(BE171)&gt;0),BD171/BE171,"")</f>
        <v/>
      </c>
      <c r="BG171" s="100" t="inlineStr">
        <is>
          <t>N</t>
        </is>
      </c>
      <c r="BH171" s="100" t="inlineStr">
        <is>
          <t>List Price $174.30</t>
        </is>
      </c>
    </row>
    <row r="172" ht="62" customHeight="1">
      <c r="A172" s="38" t="inlineStr">
        <is>
          <t>COMING SOON</t>
        </is>
      </c>
      <c r="B172" s="86" t="inlineStr">
        <is>
          <t>TWK</t>
        </is>
      </c>
      <c r="C172" s="32" t="inlineStr">
        <is>
          <t>TWK Genuine 100% Viscose Derived from Natural Bamboo Bed Sheets Set,Cooling &amp; Silky Soft Bed Sheets,Deep Pocket Up to 18",with a Laundry Bag (White, King)</t>
        </is>
      </c>
      <c r="D172" s="86" t="inlineStr">
        <is>
          <t>Poor</t>
        </is>
      </c>
      <c r="E172" s="86" t="n"/>
      <c r="F172" s="87" t="inlineStr">
        <is>
          <t>B0G1N59S1Q</t>
        </is>
      </c>
      <c r="G172" s="86" t="inlineStr">
        <is>
          <t>King</t>
        </is>
      </c>
      <c r="H172" s="86" t="inlineStr">
        <is>
          <t>White</t>
        </is>
      </c>
      <c r="I172" s="88" t="n"/>
      <c r="J172" s="32" t="inlineStr"/>
      <c r="K172" s="89" t="n">
        <v>109.99</v>
      </c>
      <c r="L172" s="89" t="n"/>
      <c r="M172" s="90">
        <f>IF(AND(ISNUMBER(L172),ISNUMBER(K172),N(K172)&gt;0),L172/K172-1,"")</f>
        <v/>
      </c>
      <c r="N172" s="91">
        <f>IF(M172="","No List Price",IF(M172&lt;=0,"At/below price",IF(M172&lt;=0.12,"&lt;=12% STR zone",IF(M172&lt;=0.25,"12-25%","&gt;25% over"))))</f>
        <v/>
      </c>
      <c r="O172" s="89" t="n">
        <v>94.98999999999999</v>
      </c>
      <c r="P172" s="92">
        <f>IF(AND(ISNUMBER(K172),ISNUMBER(O172),N(O172)&gt;0),K172/O172-1,"")</f>
        <v/>
      </c>
      <c r="Q172" s="32" t="inlineStr">
        <is>
          <t>Same size (King). Ours live: Helium 10 Xray, 2026-10-13; 15 children</t>
        </is>
      </c>
      <c r="R172" s="88" t="n"/>
      <c r="S172" s="88" t="n"/>
      <c r="T172" s="93">
        <f>IF(AND(ISNUMBER(K172),ISNUMBER(S172)),K172*S172*52/12,"")</f>
        <v/>
      </c>
      <c r="U172" s="94" t="n">
        <v>4.5</v>
      </c>
      <c r="V172" s="88" t="n">
        <v>6</v>
      </c>
      <c r="W172" s="95" t="n">
        <v>46306</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105" t="n"/>
      <c r="AS172" s="105" t="n"/>
      <c r="AT172" s="104" t="n"/>
      <c r="AU172" s="104" t="n"/>
      <c r="AV172" s="105" t="n"/>
      <c r="AW172" s="105" t="n"/>
      <c r="AX172" s="105" t="n"/>
      <c r="AY172" s="100" t="inlineStr">
        <is>
          <t>Coupon only</t>
        </is>
      </c>
      <c r="AZ172" s="100" t="inlineStr">
        <is>
          <t>11-22 to 12-05</t>
        </is>
      </c>
      <c r="BA172" s="104" t="n"/>
      <c r="BB172" s="101" t="n">
        <v>101</v>
      </c>
      <c r="BC172" s="90">
        <f>IF(AND(ISNUMBER(BA172),ISNUMBER(BB172),N(BA172)&gt;0),1-BB172/BA172,"")</f>
        <v/>
      </c>
      <c r="BD172" s="106" t="n"/>
      <c r="BE172" s="102" t="n">
        <v>477682</v>
      </c>
      <c r="BF172" s="103">
        <f>IF(AND(ISNUMBER(BD172),ISNUMBER(BE172),N(BE172)&gt;0),BD172/BE172,"")</f>
        <v/>
      </c>
      <c r="BG172" s="105" t="n"/>
      <c r="BH172" s="100" t="inlineStr">
        <is>
          <t>Coupon 50%; List Price $109.00</t>
        </is>
      </c>
    </row>
    <row r="173" ht="62" customHeight="1">
      <c r="A173" s="10">
        <f>_xlfn.IMAGE("https://images-na.ssl-images-amazon.com/images/I/716Vqhk8VxL.jpg")</f>
        <v/>
      </c>
      <c r="B173" s="86" t="inlineStr">
        <is>
          <t>CozyLux</t>
        </is>
      </c>
      <c r="C173" s="32" t="inlineStr">
        <is>
          <t>CozyLux King Size Sheets Set, 100% Rayon Derived from Bamboo, Sateen Weave</t>
        </is>
      </c>
      <c r="D173" s="86" t="inlineStr">
        <is>
          <t>Untiered</t>
        </is>
      </c>
      <c r="E173" s="87" t="inlineStr">
        <is>
          <t>B0GC2GQNMT</t>
        </is>
      </c>
      <c r="F173" s="87" t="inlineStr">
        <is>
          <t>B0GC5CJGWC</t>
        </is>
      </c>
      <c r="G173" s="86" t="inlineStr">
        <is>
          <t>King</t>
        </is>
      </c>
      <c r="H173" s="86" t="inlineStr">
        <is>
          <t>Ivory</t>
        </is>
      </c>
      <c r="I173" s="88" t="n">
        <v>18</v>
      </c>
      <c r="J173" s="32" t="inlineStr"/>
      <c r="K173" s="89" t="n">
        <v>35.99</v>
      </c>
      <c r="L173" s="89" t="n"/>
      <c r="M173" s="90">
        <f>IF(AND(ISNUMBER(L173),ISNUMBER(K173),N(K173)&gt;0),L173/K173-1,"")</f>
        <v/>
      </c>
      <c r="N173" s="91">
        <f>IF(M173="","No List Price",IF(M173&lt;=0,"At/below price",IF(M173&lt;=0.12,"&lt;=12% STR zone",IF(M173&lt;=0.25,"12-25%","&gt;25% over"))))</f>
        <v/>
      </c>
      <c r="O173" s="89" t="n">
        <v>94.98999999999999</v>
      </c>
      <c r="P173" s="92">
        <f>IF(AND(ISNUMBER(K173),ISNUMBER(O173),N(O173)&gt;0),K173/O173-1,"")</f>
        <v/>
      </c>
      <c r="Q173" s="32" t="inlineStr">
        <is>
          <t>Same size (King). Ours live: Helium 10 Xray, 2026-10-13; 15 children</t>
        </is>
      </c>
      <c r="R173" s="88" t="n">
        <v>33018</v>
      </c>
      <c r="S173" s="88" t="n">
        <v>185</v>
      </c>
      <c r="T173" s="93">
        <f>IF(AND(ISNUMBER(K173),ISNUMBER(S173)),K173*S173*52/12,"")</f>
        <v/>
      </c>
      <c r="U173" s="94" t="n">
        <v>4.6</v>
      </c>
      <c r="V173" s="88" t="n">
        <v>93</v>
      </c>
      <c r="W173" s="95" t="n">
        <v>46307</v>
      </c>
      <c r="X173" s="95" t="n">
        <v>46014</v>
      </c>
      <c r="Y173" s="86" t="inlineStr">
        <is>
          <t>FBA</t>
        </is>
      </c>
      <c r="Z173" s="86" t="inlineStr">
        <is>
          <t>CN</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Y</t>
        </is>
      </c>
      <c r="AS173" s="98" t="inlineStr">
        <is>
          <t>List Price</t>
        </is>
      </c>
      <c r="AT173" s="99" t="n">
        <v>44.99</v>
      </c>
      <c r="AU173" s="99" t="n">
        <v>35.99</v>
      </c>
      <c r="AV173" s="98" t="inlineStr">
        <is>
          <t>none</t>
        </is>
      </c>
      <c r="AW173" s="98" t="inlineStr">
        <is>
          <t>Y</t>
        </is>
      </c>
      <c r="AX173" s="98" t="inlineStr">
        <is>
          <t>2026-10-13 23:36:09</t>
        </is>
      </c>
      <c r="AY173" s="100" t="inlineStr">
        <is>
          <t>Not live in 2025</t>
        </is>
      </c>
      <c r="AZ173" s="105" t="n"/>
      <c r="BA173" s="104" t="n"/>
      <c r="BB173" s="104" t="n"/>
      <c r="BC173" s="90">
        <f>IF(AND(ISNUMBER(BA173),ISNUMBER(BB173),N(BA173)&gt;0),1-BB173/BA173,"")</f>
        <v/>
      </c>
      <c r="BD173" s="106" t="n"/>
      <c r="BE173" s="106" t="n"/>
      <c r="BF173" s="103">
        <f>IF(AND(ISNUMBER(BD173),ISNUMBER(BE173),N(BE173)&gt;0),BD173/BE173,"")</f>
        <v/>
      </c>
      <c r="BG173" s="105" t="n"/>
      <c r="BH173" s="105" t="n"/>
    </row>
    <row r="174" ht="62" customHeight="1">
      <c r="A174" s="10">
        <f>_xlfn.IMAGE("https://m.media-amazon.com/images/I/71GPOg6dRqL._AC_SL1500_.jpg")</f>
        <v/>
      </c>
      <c r="B174" s="86" t="inlineStr">
        <is>
          <t>Amazon Basics</t>
        </is>
      </c>
      <c r="C174" s="32" t="inlineStr">
        <is>
          <t>Amazon Basics Bamboo Viscose Sheet Set, 4-Piece, Queen, White</t>
        </is>
      </c>
      <c r="D174" s="86" t="inlineStr">
        <is>
          <t>Untiered</t>
        </is>
      </c>
      <c r="E174" s="87" t="inlineStr">
        <is>
          <t>B0GFHP5V9H</t>
        </is>
      </c>
      <c r="F174" s="87" t="inlineStr">
        <is>
          <t>B0GFHGS4DP</t>
        </is>
      </c>
      <c r="G174" s="86" t="inlineStr">
        <is>
          <t>Queen</t>
        </is>
      </c>
      <c r="H174" s="86" t="inlineStr">
        <is>
          <t>White</t>
        </is>
      </c>
      <c r="I174" s="88" t="n"/>
      <c r="J174" s="32" t="inlineStr"/>
      <c r="K174" s="89" t="n">
        <v>29.99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15 children</t>
        </is>
      </c>
      <c r="R174" s="88" t="n">
        <v>21965</v>
      </c>
      <c r="S174" s="88" t="n">
        <v>173</v>
      </c>
      <c r="T174" s="93">
        <f>IF(AND(ISNUMBER(K174),ISNUMBER(S174)),K174*S174*52/12,"")</f>
        <v/>
      </c>
      <c r="U174" s="94" t="n">
        <v>4</v>
      </c>
      <c r="V174" s="88" t="n">
        <v>36</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29.99</v>
      </c>
      <c r="AV174" s="98" t="inlineStr">
        <is>
          <t>none</t>
        </is>
      </c>
      <c r="AW174" s="98" t="inlineStr">
        <is>
          <t>Y</t>
        </is>
      </c>
      <c r="AX174" s="98" t="inlineStr">
        <is>
          <t>2026-10-13 23:35:34</t>
        </is>
      </c>
      <c r="AY174" s="100" t="inlineStr">
        <is>
          <t>Not live in 2025</t>
        </is>
      </c>
      <c r="AZ174" s="105" t="n"/>
      <c r="BA174" s="104" t="n"/>
      <c r="BB174" s="104" t="n"/>
      <c r="BC174" s="90">
        <f>IF(AND(ISNUMBER(BA174),ISNUMBER(BB174),N(BA174)&gt;0),1-BB174/BA174,"")</f>
        <v/>
      </c>
      <c r="BD174" s="106" t="n"/>
      <c r="BE174" s="106" t="n"/>
      <c r="BF174" s="103">
        <f>IF(AND(ISNUMBER(BD174),ISNUMBER(BE174),N(BE174)&gt;0),BD174/BE174,"")</f>
        <v/>
      </c>
      <c r="BG174" s="105" t="n"/>
      <c r="BH174" s="105" t="n"/>
    </row>
    <row r="175" ht="62" customHeight="1">
      <c r="A175" s="10">
        <f>_xlfn.IMAGE("https://images-na.ssl-images-amazon.com/images/I/61WgRn96SbL.jpg")</f>
        <v/>
      </c>
      <c r="B175" s="86" t="inlineStr">
        <is>
          <t>CGK Unlimited</t>
        </is>
      </c>
      <c r="C175" s="32" t="inlineStr">
        <is>
          <t>100% Rayon Derived from Bamboo - Bamboo Sheets Queen Size - Black</t>
        </is>
      </c>
      <c r="D175" s="86" t="inlineStr">
        <is>
          <t>Untiered</t>
        </is>
      </c>
      <c r="E175" s="87" t="inlineStr">
        <is>
          <t>B0F2GR2DKR</t>
        </is>
      </c>
      <c r="F175" s="87" t="inlineStr">
        <is>
          <t>B0D429MCF7</t>
        </is>
      </c>
      <c r="G175" s="86" t="inlineStr">
        <is>
          <t>Queen</t>
        </is>
      </c>
      <c r="H175" s="86" t="inlineStr">
        <is>
          <t>Black</t>
        </is>
      </c>
      <c r="I175" s="88" t="n">
        <v>58</v>
      </c>
      <c r="J175" s="32" t="inlineStr"/>
      <c r="K175" s="89" t="n">
        <v>49.99</v>
      </c>
      <c r="L175" s="89" t="n"/>
      <c r="M175" s="90">
        <f>IF(AND(ISNUMBER(L175),ISNUMBER(K175),N(K175)&gt;0),L175/K175-1,"")</f>
        <v/>
      </c>
      <c r="N175" s="91">
        <f>IF(M175="","No List Price",IF(M175&lt;=0,"At/below price",IF(M175&lt;=0.12,"&lt;=12% STR zone",IF(M175&lt;=0.25,"12-25%","&gt;25% over"))))</f>
        <v/>
      </c>
      <c r="O175" s="89" t="n">
        <v>89.98999999999999</v>
      </c>
      <c r="P175" s="92">
        <f>IF(AND(ISNUMBER(K175),ISNUMBER(O175),N(O175)&gt;0),K175/O175-1,"")</f>
        <v/>
      </c>
      <c r="Q175" s="32" t="inlineStr">
        <is>
          <t>Same size (Queen). Ours live: Helium 10 Xray, 2026-10-13; 15 children</t>
        </is>
      </c>
      <c r="R175" s="88" t="n">
        <v>2554</v>
      </c>
      <c r="S175" s="88" t="n">
        <v>173</v>
      </c>
      <c r="T175" s="93">
        <f>IF(AND(ISNUMBER(K175),ISNUMBER(S175)),K175*S175*52/12,"")</f>
        <v/>
      </c>
      <c r="U175" s="94" t="n">
        <v>4.4</v>
      </c>
      <c r="V175" s="88" t="n">
        <v>1169</v>
      </c>
      <c r="W175" s="95" t="n">
        <v>46307</v>
      </c>
      <c r="X175" s="95" t="n">
        <v>45575</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49.99</v>
      </c>
      <c r="AV175" s="98" t="inlineStr">
        <is>
          <t>none</t>
        </is>
      </c>
      <c r="AW175" s="98" t="inlineStr">
        <is>
          <t>Y</t>
        </is>
      </c>
      <c r="AX175" s="98" t="inlineStr">
        <is>
          <t>2026-10-13 23:35:53</t>
        </is>
      </c>
      <c r="AY175" s="100" t="inlineStr">
        <is>
          <t>Price cut only</t>
        </is>
      </c>
      <c r="AZ175" s="100" t="inlineStr">
        <is>
          <t>11-20 to 12-01</t>
        </is>
      </c>
      <c r="BA175" s="101" t="n">
        <v>39.99</v>
      </c>
      <c r="BB175" s="101" t="n">
        <v>29.74</v>
      </c>
      <c r="BC175" s="90">
        <f>IF(AND(ISNUMBER(BA175),ISNUMBER(BB175),N(BA175)&gt;0),1-BB175/BA175,"")</f>
        <v/>
      </c>
      <c r="BD175" s="102" t="n">
        <v>16161</v>
      </c>
      <c r="BE175" s="102" t="n">
        <v>12770</v>
      </c>
      <c r="BF175" s="103">
        <f>IF(AND(ISNUMBER(BD175),ISNUMBER(BE175),N(BE175)&gt;0),BD175/BE175,"")</f>
        <v/>
      </c>
      <c r="BG175" s="100" t="inlineStr">
        <is>
          <t>N</t>
        </is>
      </c>
      <c r="BH175" s="100" t="inlineStr">
        <is>
          <t>List Price $64.99</t>
        </is>
      </c>
    </row>
    <row r="176" ht="62" customHeight="1">
      <c r="A176" s="10">
        <f>_xlfn.IMAGE("https://images-na.ssl-images-amazon.com/images/I/81fpVjndH2L.jpg")</f>
        <v/>
      </c>
      <c r="B176" s="86" t="inlineStr">
        <is>
          <t>Shilucheng</t>
        </is>
      </c>
      <c r="C176" s="32" t="inlineStr">
        <is>
          <t>Shilucheng 4 Piece Queen Sheet Sets, Cooling Sheets, Dark Grey</t>
        </is>
      </c>
      <c r="D176" s="86" t="inlineStr">
        <is>
          <t>Untiered</t>
        </is>
      </c>
      <c r="E176" s="87" t="inlineStr">
        <is>
          <t>B0HJSVWNRS</t>
        </is>
      </c>
      <c r="F176" s="87" t="inlineStr">
        <is>
          <t>B0FWY1TGFK</t>
        </is>
      </c>
      <c r="G176" s="86" t="inlineStr">
        <is>
          <t>Queen</t>
        </is>
      </c>
      <c r="H176" s="86" t="inlineStr">
        <is>
          <t>Grey</t>
        </is>
      </c>
      <c r="I176" s="88" t="n">
        <v>49</v>
      </c>
      <c r="J176" s="32" t="inlineStr">
        <is>
          <t>B0FWY1TGFK (67%), B098JT1RF2 (22%)</t>
        </is>
      </c>
      <c r="K176" s="89" t="n">
        <v>34.99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15 children</t>
        </is>
      </c>
      <c r="R176" s="88" t="n">
        <v>5396</v>
      </c>
      <c r="S176" s="88" t="n">
        <v>173</v>
      </c>
      <c r="T176" s="93">
        <f>IF(AND(ISNUMBER(K176),ISNUMBER(S176)),K176*S176*52/12,"")</f>
        <v/>
      </c>
      <c r="U176" s="94" t="n">
        <v>4.3</v>
      </c>
      <c r="V176" s="88" t="n">
        <v>24352</v>
      </c>
      <c r="W176" s="95" t="n">
        <v>46307</v>
      </c>
      <c r="X176" s="95" t="n"/>
      <c r="Y176" s="86" t="n"/>
      <c r="Z176" s="86" t="n"/>
      <c r="AA176" s="88" t="n">
        <v>135323</v>
      </c>
      <c r="AB176" s="88" t="n">
        <v>1187</v>
      </c>
      <c r="AC176" s="96" t="n">
        <v>0.7652350080917514</v>
      </c>
      <c r="AD176" s="96" t="n">
        <v>0.234765015555375</v>
      </c>
      <c r="AE176" s="32" t="inlineStr">
        <is>
          <t>bamboo sheets</t>
        </is>
      </c>
      <c r="AF176" s="96" t="n">
        <v>0.4715236877692632</v>
      </c>
      <c r="AG176" s="96" t="n"/>
      <c r="AH176" s="96" t="n"/>
      <c r="AI176" s="96" t="n">
        <v>0.03684517783377549</v>
      </c>
      <c r="AJ176" s="88" t="n">
        <v>680</v>
      </c>
      <c r="AK176" s="88" t="n">
        <v>214</v>
      </c>
      <c r="AL176" s="88" t="n">
        <v>439</v>
      </c>
      <c r="AM176" s="88" t="n">
        <v>507</v>
      </c>
      <c r="AN176" s="88" t="n">
        <v>384</v>
      </c>
      <c r="AO176" s="88" t="n">
        <v>18</v>
      </c>
      <c r="AP176" s="97" t="n"/>
      <c r="AQ176" s="92" t="n">
        <v>-0.9497907949790795</v>
      </c>
      <c r="AR176" s="98" t="inlineStr">
        <is>
          <t>N</t>
        </is>
      </c>
      <c r="AS176" s="98" t="inlineStr">
        <is>
          <t>none</t>
        </is>
      </c>
      <c r="AT176" s="104" t="n"/>
      <c r="AU176" s="99" t="n">
        <v>34.99</v>
      </c>
      <c r="AV176" s="98" t="inlineStr">
        <is>
          <t>coupon 15%</t>
        </is>
      </c>
      <c r="AW176" s="98" t="inlineStr">
        <is>
          <t>Y</t>
        </is>
      </c>
      <c r="AX176" s="98" t="inlineStr">
        <is>
          <t>2026-10-13 12:11:26</t>
        </is>
      </c>
      <c r="AY176" s="100" t="inlineStr">
        <is>
          <t>Coupon only</t>
        </is>
      </c>
      <c r="AZ176" s="100" t="inlineStr">
        <is>
          <t>11-09 to 11-21</t>
        </is>
      </c>
      <c r="BA176" s="101" t="n">
        <v>34.9</v>
      </c>
      <c r="BB176" s="101" t="n">
        <v>28.18</v>
      </c>
      <c r="BC176" s="90">
        <f>IF(AND(ISNUMBER(BA176),ISNUMBER(BB176),N(BA176)&gt;0),1-BB176/BA176,"")</f>
        <v/>
      </c>
      <c r="BD176" s="102" t="n">
        <v>4671</v>
      </c>
      <c r="BE176" s="102" t="n">
        <v>3278</v>
      </c>
      <c r="BF176" s="103">
        <f>IF(AND(ISNUMBER(BD176),ISNUMBER(BE176),N(BE176)&gt;0),BD176/BE176,"")</f>
        <v/>
      </c>
      <c r="BG176" s="100" t="inlineStr">
        <is>
          <t>N</t>
        </is>
      </c>
      <c r="BH176" s="100" t="inlineStr">
        <is>
          <t>Coupon 15%; List Price $34.90</t>
        </is>
      </c>
    </row>
    <row r="177" ht="62" customHeight="1">
      <c r="A177" s="10">
        <f>_xlfn.IMAGE("https://images-na.ssl-images-amazon.com/images/I/61sz2mcvZmL.jpg")</f>
        <v/>
      </c>
      <c r="B177" s="86" t="inlineStr">
        <is>
          <t>Cosy House Collection</t>
        </is>
      </c>
      <c r="C177" s="32" t="inlineStr">
        <is>
          <t>Cosy House Collection 100% Rayon Derived from Bamboo Bed Sheet Set</t>
        </is>
      </c>
      <c r="D177" s="86" t="inlineStr">
        <is>
          <t>Untiered</t>
        </is>
      </c>
      <c r="E177" s="87" t="inlineStr">
        <is>
          <t>B0CLBDW265</t>
        </is>
      </c>
      <c r="F177" s="87" t="inlineStr">
        <is>
          <t>B0B4F4NTBL</t>
        </is>
      </c>
      <c r="G177" s="86" t="inlineStr">
        <is>
          <t>King</t>
        </is>
      </c>
      <c r="H177" s="86" t="inlineStr">
        <is>
          <t>White</t>
        </is>
      </c>
      <c r="I177" s="88" t="n">
        <v>77</v>
      </c>
      <c r="J177" s="32" t="inlineStr"/>
      <c r="K177" s="89" t="n">
        <v>89.95</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(King). Ours live: Helium 10 Xray, 2026-10-13; 15 children</t>
        </is>
      </c>
      <c r="R177" s="88" t="n">
        <v>20356</v>
      </c>
      <c r="S177" s="88" t="n">
        <v>35</v>
      </c>
      <c r="T177" s="93">
        <f>IF(AND(ISNUMBER(K177),ISNUMBER(S177)),K177*S177*52/12,"")</f>
        <v/>
      </c>
      <c r="U177" s="94" t="n">
        <v>4.3</v>
      </c>
      <c r="V177" s="88" t="n">
        <v>7941</v>
      </c>
      <c r="W177" s="95" t="n">
        <v>46307</v>
      </c>
      <c r="X177" s="95" t="n">
        <v>45344</v>
      </c>
      <c r="Y177" s="86" t="inlineStr">
        <is>
          <t>FBA</t>
        </is>
      </c>
      <c r="Z177" s="86" t="inlineStr">
        <is>
          <t>US</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89.95</v>
      </c>
      <c r="AV177" s="98" t="inlineStr">
        <is>
          <t>none</t>
        </is>
      </c>
      <c r="AW177" s="98" t="inlineStr">
        <is>
          <t>Y</t>
        </is>
      </c>
      <c r="AX177" s="98" t="inlineStr">
        <is>
          <t>2026-10-13 23:35:59</t>
        </is>
      </c>
      <c r="AY177" s="100" t="inlineStr">
        <is>
          <t>None</t>
        </is>
      </c>
      <c r="AZ177" s="105" t="n"/>
      <c r="BA177" s="101" t="n">
        <v>89.95</v>
      </c>
      <c r="BB177" s="101" t="n">
        <v>89.95</v>
      </c>
      <c r="BC177" s="90">
        <f>IF(AND(ISNUMBER(BA177),ISNUMBER(BB177),N(BA177)&gt;0),1-BB177/BA177,"")</f>
        <v/>
      </c>
      <c r="BD177" s="102" t="n">
        <v>56877</v>
      </c>
      <c r="BE177" s="102" t="n">
        <v>87565</v>
      </c>
      <c r="BF177" s="103">
        <f>IF(AND(ISNUMBER(BD177),ISNUMBER(BE177),N(BE177)&gt;0),BD177/BE177,"")</f>
        <v/>
      </c>
      <c r="BG177" s="100" t="inlineStr">
        <is>
          <t>Y</t>
        </is>
      </c>
      <c r="BH177" s="100" t="inlineStr">
        <is>
          <t>List Price $199.99</t>
        </is>
      </c>
    </row>
    <row r="178" ht="62" customHeight="1">
      <c r="A178" s="10">
        <f>_xlfn.IMAGE("https://images-na.ssl-images-amazon.com/images/I/71QdkBMIZ3L.jpg")</f>
        <v/>
      </c>
      <c r="B178" s="86" t="inlineStr">
        <is>
          <t>MR&amp;HM</t>
        </is>
      </c>
      <c r="C178" s="32" t="inlineStr">
        <is>
          <t>MR&amp;HM Queen Sheets 4 Pieces, Rayon Derived from Bamboo Blend, Dark Grey</t>
        </is>
      </c>
      <c r="D178" s="86" t="inlineStr">
        <is>
          <t>Untiered</t>
        </is>
      </c>
      <c r="E178" s="87" t="inlineStr">
        <is>
          <t>B0DQDMN3WK</t>
        </is>
      </c>
      <c r="F178" s="87" t="inlineStr">
        <is>
          <t>B0DL5NCTYF</t>
        </is>
      </c>
      <c r="G178" s="86" t="inlineStr">
        <is>
          <t>Queen</t>
        </is>
      </c>
      <c r="H178" s="86" t="inlineStr">
        <is>
          <t>Grey</t>
        </is>
      </c>
      <c r="I178" s="88" t="n">
        <v>65</v>
      </c>
      <c r="J178" s="32" t="inlineStr"/>
      <c r="K178" s="89" t="n">
        <v>36.99</v>
      </c>
      <c r="L178" s="89" t="n"/>
      <c r="M178" s="90">
        <f>IF(AND(ISNUMBER(L178),ISNUMBER(K178),N(K178)&gt;0),L178/K178-1,"")</f>
        <v/>
      </c>
      <c r="N178" s="91">
        <f>IF(M178="","No List Price",IF(M178&lt;=0,"At/below price",IF(M178&lt;=0.12,"&lt;=12% STR zone",IF(M178&lt;=0.25,"12-25%","&gt;25% over"))))</f>
        <v/>
      </c>
      <c r="O178" s="89" t="n">
        <v>89.98999999999999</v>
      </c>
      <c r="P178" s="92">
        <f>IF(AND(ISNUMBER(K178),ISNUMBER(O178),N(O178)&gt;0),K178/O178-1,"")</f>
        <v/>
      </c>
      <c r="Q178" s="32" t="inlineStr">
        <is>
          <t>Same size (Queen). Ours live: Helium 10 Xray, 2026-10-13; 15 children</t>
        </is>
      </c>
      <c r="R178" s="88" t="n">
        <v>30653</v>
      </c>
      <c r="S178" s="88" t="n">
        <v>35</v>
      </c>
      <c r="T178" s="93">
        <f>IF(AND(ISNUMBER(K178),ISNUMBER(S178)),K178*S178*52/12,"")</f>
        <v/>
      </c>
      <c r="U178" s="94" t="n">
        <v>4.4</v>
      </c>
      <c r="V178" s="88" t="n">
        <v>616</v>
      </c>
      <c r="W178" s="95" t="n">
        <v>46307</v>
      </c>
      <c r="X178" s="95" t="n">
        <v>45593</v>
      </c>
      <c r="Y178" s="86" t="inlineStr">
        <is>
          <t>FBA</t>
        </is>
      </c>
      <c r="Z178" s="86" t="inlineStr">
        <is>
          <t>HK</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Y</t>
        </is>
      </c>
      <c r="AS178" s="98" t="inlineStr">
        <is>
          <t>List Price</t>
        </is>
      </c>
      <c r="AT178" s="99" t="n">
        <v>38.99</v>
      </c>
      <c r="AU178" s="99" t="n">
        <v>36.99</v>
      </c>
      <c r="AV178" s="98" t="inlineStr">
        <is>
          <t>none</t>
        </is>
      </c>
      <c r="AW178" s="98" t="inlineStr">
        <is>
          <t>Y</t>
        </is>
      </c>
      <c r="AX178" s="98" t="inlineStr">
        <is>
          <t>2026-10-13 23:36:40</t>
        </is>
      </c>
      <c r="AY178" s="100" t="inlineStr">
        <is>
          <t>Prime Exclusive Discount</t>
        </is>
      </c>
      <c r="AZ178" s="100" t="inlineStr">
        <is>
          <t>11-03 to 12-01</t>
        </is>
      </c>
      <c r="BA178" s="101" t="n">
        <v>29.99</v>
      </c>
      <c r="BB178" s="101" t="n">
        <v>28.04</v>
      </c>
      <c r="BC178" s="90">
        <f>IF(AND(ISNUMBER(BA178),ISNUMBER(BB178),N(BA178)&gt;0),1-BB178/BA178,"")</f>
        <v/>
      </c>
      <c r="BD178" s="102" t="n">
        <v>32725</v>
      </c>
      <c r="BE178" s="102" t="n">
        <v>36240</v>
      </c>
      <c r="BF178" s="103">
        <f>IF(AND(ISNUMBER(BD178),ISNUMBER(BE178),N(BE178)&gt;0),BD178/BE178,"")</f>
        <v/>
      </c>
      <c r="BG178" s="100" t="inlineStr">
        <is>
          <t>N</t>
        </is>
      </c>
      <c r="BH178" s="100" t="inlineStr">
        <is>
          <t>Prime Exclusive already running before BFCM week; Buy Box RAISED in BFCM week (median $37.99 vs $32.99 before); List Price $45.99</t>
        </is>
      </c>
    </row>
    <row r="179" ht="62" customHeight="1">
      <c r="A179" s="10">
        <f>_xlfn.IMAGE("https://m.media-amazon.com/images/I/7172f86VS1L._AC_SL1500_.jpg")</f>
        <v/>
      </c>
      <c r="B179" s="86" t="inlineStr">
        <is>
          <t>KAKIJUMN</t>
        </is>
      </c>
      <c r="C179" s="32" t="inlineStr">
        <is>
          <t>KAKIJUMN 6 Piece King Sheets Set, Rayon Derived from Bamboo Blend</t>
        </is>
      </c>
      <c r="D179" s="86" t="inlineStr">
        <is>
          <t>Untiered</t>
        </is>
      </c>
      <c r="E179" s="87" t="inlineStr">
        <is>
          <t>B0HFVC6529</t>
        </is>
      </c>
      <c r="F179" s="87" t="inlineStr">
        <is>
          <t>B0H1MNZ16Z</t>
        </is>
      </c>
      <c r="G179" s="86" t="inlineStr">
        <is>
          <t>Queen</t>
        </is>
      </c>
      <c r="H179" s="86" t="inlineStr">
        <is>
          <t>Warm Beige</t>
        </is>
      </c>
      <c r="I179" s="88" t="n"/>
      <c r="J179" s="32" t="inlineStr"/>
      <c r="K179" s="89" t="n">
        <v>38.39</v>
      </c>
      <c r="L179" s="89" t="n">
        <v>47.99</v>
      </c>
      <c r="M179" s="90">
        <f>IF(AND(ISNUMBER(L179),ISNUMBER(K179),N(K179)&gt;0),L179/K179-1,"")</f>
        <v/>
      </c>
      <c r="N179" s="91">
        <f>IF(M179="","No List Price",IF(M179&lt;=0,"At/below price",IF(M179&lt;=0.12,"&lt;=12% STR zone",IF(M179&lt;=0.25,"12-25%","&gt;25% over"))))</f>
        <v/>
      </c>
      <c r="O179" s="89" t="n">
        <v>89.98999999999999</v>
      </c>
      <c r="P179" s="92">
        <f>IF(AND(ISNUMBER(K179),ISNUMBER(O179),N(O179)&gt;0),K179/O179-1,"")</f>
        <v/>
      </c>
      <c r="Q179" s="32" t="inlineStr">
        <is>
          <t>Same size (Queen). Ours live: Helium 10 Xray, 2026-10-13; 15 children</t>
        </is>
      </c>
      <c r="R179" s="88" t="n">
        <v>64915</v>
      </c>
      <c r="S179" s="88" t="n">
        <v>18</v>
      </c>
      <c r="T179" s="93">
        <f>IF(AND(ISNUMBER(K179),ISNUMBER(S179)),K179*S179*52/12,"")</f>
        <v/>
      </c>
      <c r="U179" s="94" t="n">
        <v>4</v>
      </c>
      <c r="V179" s="88" t="n">
        <v>71</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Y</t>
        </is>
      </c>
      <c r="AS179" s="98" t="inlineStr">
        <is>
          <t>List Price</t>
        </is>
      </c>
      <c r="AT179" s="99" t="n">
        <v>47.99</v>
      </c>
      <c r="AU179" s="99" t="n">
        <v>38.39</v>
      </c>
      <c r="AV179" s="98" t="inlineStr">
        <is>
          <t>none</t>
        </is>
      </c>
      <c r="AW179" s="98" t="inlineStr">
        <is>
          <t>Y</t>
        </is>
      </c>
      <c r="AX179" s="98" t="inlineStr">
        <is>
          <t>2026-10-13 23:36:27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_xlfn.IMAGE("https://images-na.ssl-images-amazon.com/images/I/81fpVjndH2L.jpg")</f>
        <v/>
      </c>
      <c r="B180" s="86" t="inlineStr">
        <is>
          <t>Shilucheng</t>
        </is>
      </c>
      <c r="C180" s="32" t="inlineStr">
        <is>
          <t>Shilucheng 4 Piece King Sheet Sets, Cooling Sheets, Dark Grey</t>
        </is>
      </c>
      <c r="D180" s="86" t="inlineStr">
        <is>
          <t>Untiered</t>
        </is>
      </c>
      <c r="E180" s="87" t="inlineStr">
        <is>
          <t>B098JT1RF2</t>
        </is>
      </c>
      <c r="F180" s="87" t="inlineStr">
        <is>
          <t>B098JT1RF2</t>
        </is>
      </c>
      <c r="G180" s="86" t="inlineStr">
        <is>
          <t>King</t>
        </is>
      </c>
      <c r="H180" s="86" t="inlineStr">
        <is>
          <t>Grey</t>
        </is>
      </c>
      <c r="I180" s="88" t="n">
        <v>100</v>
      </c>
      <c r="J180" s="32" t="inlineStr">
        <is>
          <t>B0FWY1TGFK (65%), B098JT1RF2 (23%)</t>
        </is>
      </c>
      <c r="K180" s="89" t="n">
        <v>37.9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(King). Ours live: Helium 10 Xray, 2026-10-13; 15 children</t>
        </is>
      </c>
      <c r="R180" s="88" t="n">
        <v>9187</v>
      </c>
      <c r="S180" s="88" t="n">
        <v>18</v>
      </c>
      <c r="T180" s="93">
        <f>IF(AND(ISNUMBER(K180),ISNUMBER(S180)),K180*S180*52/12,"")</f>
        <v/>
      </c>
      <c r="U180" s="94" t="n">
        <v>4.3</v>
      </c>
      <c r="V180" s="88" t="n">
        <v>24333</v>
      </c>
      <c r="W180" s="95" t="n">
        <v>46286</v>
      </c>
      <c r="X180" s="95" t="n">
        <v>44379</v>
      </c>
      <c r="Y180" s="86" t="inlineStr">
        <is>
          <t>FBA</t>
        </is>
      </c>
      <c r="Z180" s="86" t="inlineStr">
        <is>
          <t>CN</t>
        </is>
      </c>
      <c r="AA180" s="88" t="n">
        <v>23320</v>
      </c>
      <c r="AB180" s="88" t="n">
        <v>859</v>
      </c>
      <c r="AC180" s="96" t="n">
        <v>0.6141093996569467</v>
      </c>
      <c r="AD180" s="96" t="n">
        <v>0.3858907375643228</v>
      </c>
      <c r="AE180" s="32" t="inlineStr">
        <is>
          <t>bamboo sheets</t>
        </is>
      </c>
      <c r="AF180" s="96" t="n">
        <v>0.5330188679245284</v>
      </c>
      <c r="AG180" s="96" t="n"/>
      <c r="AH180" s="96" t="n"/>
      <c r="AI180" s="96" t="n">
        <v>0.006989708404802744</v>
      </c>
      <c r="AJ180" s="88" t="n">
        <v>550</v>
      </c>
      <c r="AK180" s="88" t="n">
        <v>255</v>
      </c>
      <c r="AL180" s="88" t="n">
        <v>264</v>
      </c>
      <c r="AM180" s="88" t="n">
        <v>309</v>
      </c>
      <c r="AN180" s="88" t="n">
        <v>186</v>
      </c>
      <c r="AO180" s="88" t="n">
        <v>22</v>
      </c>
      <c r="AP180" s="97" t="n"/>
      <c r="AQ180" s="92" t="n">
        <v>-0.9551569506726457</v>
      </c>
      <c r="AR180" s="98" t="inlineStr">
        <is>
          <t>N</t>
        </is>
      </c>
      <c r="AS180" s="98" t="inlineStr">
        <is>
          <t>none</t>
        </is>
      </c>
      <c r="AT180" s="104" t="n"/>
      <c r="AU180" s="99" t="n">
        <v>37.9</v>
      </c>
      <c r="AV180" s="98" t="inlineStr">
        <is>
          <t>coupon 15%</t>
        </is>
      </c>
      <c r="AW180" s="98" t="inlineStr">
        <is>
          <t>Y</t>
        </is>
      </c>
      <c r="AX180" s="98" t="inlineStr">
        <is>
          <t>2026-10-13 12:11:29</t>
        </is>
      </c>
      <c r="AY180" s="100" t="inlineStr">
        <is>
          <t>Coupon only</t>
        </is>
      </c>
      <c r="AZ180" s="100" t="inlineStr">
        <is>
          <t>11-05 to 12-05</t>
        </is>
      </c>
      <c r="BA180" s="101" t="n">
        <v>37.9</v>
      </c>
      <c r="BB180" s="101" t="n">
        <v>30.32</v>
      </c>
      <c r="BC180" s="90">
        <f>IF(AND(ISNUMBER(BA180),ISNUMBER(BB180),N(BA180)&gt;0),1-BB180/BA180,"")</f>
        <v/>
      </c>
      <c r="BD180" s="102" t="n">
        <v>4668</v>
      </c>
      <c r="BE180" s="102" t="n">
        <v>3277</v>
      </c>
      <c r="BF180" s="103">
        <f>IF(AND(ISNUMBER(BD180),ISNUMBER(BE180),N(BE180)&gt;0),BD180/BE180,"")</f>
        <v/>
      </c>
      <c r="BG180" s="100" t="inlineStr">
        <is>
          <t>N</t>
        </is>
      </c>
      <c r="BH180" s="100" t="inlineStr">
        <is>
          <t>Coupon 15%; List Price $37.90</t>
        </is>
      </c>
    </row>
    <row r="181" ht="62" customHeight="1">
      <c r="A181" s="10">
        <f>_xlfn.IMAGE("https://m.media-amazon.com/images/I/81LmQQkUCeL._AC_SL1500_.jpg")</f>
        <v/>
      </c>
      <c r="B181" s="86" t="inlineStr">
        <is>
          <t>Brooklyn Loom</t>
        </is>
      </c>
      <c r="C181" s="32" t="inlineStr">
        <is>
          <t>Brooklyn Loom 300 Thread Count Sateen 100% Rayon from Bamboo Deep Pocket 4 Piece</t>
        </is>
      </c>
      <c r="D181" s="86" t="inlineStr">
        <is>
          <t>Untiered</t>
        </is>
      </c>
      <c r="E181" s="87" t="inlineStr">
        <is>
          <t>B0H29TVSQX</t>
        </is>
      </c>
      <c r="F181" s="87" t="inlineStr">
        <is>
          <t>B0FQ8JCH46</t>
        </is>
      </c>
      <c r="G181" s="86" t="inlineStr">
        <is>
          <t>King (U.S. Standard)</t>
        </is>
      </c>
      <c r="H181" s="86" t="inlineStr">
        <is>
          <t>Charcoal</t>
        </is>
      </c>
      <c r="I181" s="88" t="n"/>
      <c r="J181" s="32" t="inlineStr"/>
      <c r="K181" s="89" t="n">
        <v>129.99</v>
      </c>
      <c r="L181" s="89" t="n"/>
      <c r="M181" s="90">
        <f>IF(AND(ISNUMBER(L181),ISNUMBER(K181),N(K181)&gt;0),L181/K181-1,"")</f>
        <v/>
      </c>
      <c r="N181" s="91">
        <f>IF(M181="","No List Price",IF(M181&lt;=0,"At/below price",IF(M181&lt;=0.12,"&lt;=12% STR zone",IF(M181&lt;=0.25,"12-25%","&gt;25% over"))))</f>
        <v/>
      </c>
      <c r="O181" s="89" t="n">
        <v>80.69429159318052</v>
      </c>
      <c r="P181" s="92">
        <f>IF(AND(ISNUMBER(K181),ISNUMBER(O181),N(O181)&gt;0),K181/O181-1,"")</f>
        <v/>
      </c>
      <c r="Q181" s="32" t="inlineStr">
        <is>
          <t>vs our blended price (Command Center, Mar 2026 - STALE)</t>
        </is>
      </c>
      <c r="R181" s="88" t="n">
        <v>1216102</v>
      </c>
      <c r="S181" s="88" t="n">
        <v>5</v>
      </c>
      <c r="T181" s="93">
        <f>IF(AND(ISNUMBER(K181),ISNUMBER(S181)),K181*S181*52/12,"")</f>
        <v/>
      </c>
      <c r="U181" s="94" t="n">
        <v>4.5</v>
      </c>
      <c r="V181" s="88" t="n">
        <v>13</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129.99</v>
      </c>
      <c r="AV181" s="98" t="inlineStr">
        <is>
          <t>none</t>
        </is>
      </c>
      <c r="AW181" s="98" t="inlineStr">
        <is>
          <t>Y</t>
        </is>
      </c>
      <c r="AX181" s="98" t="inlineStr">
        <is>
          <t>2026-10-13 23:47:55</t>
        </is>
      </c>
      <c r="AY181" s="100" t="inlineStr">
        <is>
          <t>None</t>
        </is>
      </c>
      <c r="AZ181" s="105" t="n"/>
      <c r="BA181" s="101" t="n">
        <v>129.99</v>
      </c>
      <c r="BB181" s="101" t="n">
        <v>129.99</v>
      </c>
      <c r="BC181" s="90">
        <f>IF(AND(ISNUMBER(BA181),ISNUMBER(BB181),N(BA181)&gt;0),1-BB181/BA181,"")</f>
        <v/>
      </c>
      <c r="BD181" s="102" t="n">
        <v>1517805</v>
      </c>
      <c r="BE181" s="106" t="n"/>
      <c r="BF181" s="103">
        <f>IF(AND(ISNUMBER(BD181),ISNUMBER(BE181),N(BE181)&gt;0),BD181/BE181,"")</f>
        <v/>
      </c>
      <c r="BG181" s="100" t="inlineStr">
        <is>
          <t>N</t>
        </is>
      </c>
      <c r="BH181" s="100" t="inlineStr">
        <is>
          <t>List Price $260.00</t>
        </is>
      </c>
    </row>
    <row r="182" ht="62" customHeight="1">
      <c r="A182" s="10">
        <f>_xlfn.IMAGE("https://m.media-amazon.com/images/I/51UOEzUD6wL._AC_SL1254_.jpg")</f>
        <v/>
      </c>
      <c r="B182" s="86" t="inlineStr">
        <is>
          <t>MRIDU</t>
        </is>
      </c>
      <c r="C182" s="32" t="inlineStr">
        <is>
          <t>MRIDU Bamboo Viscose Sheet Set, 4-Piece, Pure White, King</t>
        </is>
      </c>
      <c r="D182" s="86" t="inlineStr">
        <is>
          <t>Untiered</t>
        </is>
      </c>
      <c r="E182" s="87" t="inlineStr">
        <is>
          <t>B0GSXPDW9C</t>
        </is>
      </c>
      <c r="F182" s="87" t="inlineStr">
        <is>
          <t>B0GSXRR9DN</t>
        </is>
      </c>
      <c r="G182" s="86" t="inlineStr">
        <is>
          <t>Full</t>
        </is>
      </c>
      <c r="H182" s="86" t="inlineStr">
        <is>
          <t>Pure White</t>
        </is>
      </c>
      <c r="I182" s="88" t="n"/>
      <c r="J182" s="32" t="inlineStr"/>
      <c r="K182" s="89" t="n">
        <v>89.98999999999999</v>
      </c>
      <c r="L182" s="89" t="n"/>
      <c r="M182" s="90">
        <f>IF(AND(ISNUMBER(L182),ISNUMBER(K182),N(K182)&gt;0),L182/K182-1,"")</f>
        <v/>
      </c>
      <c r="N182" s="91">
        <f>IF(M182="","No List Price",IF(M182&lt;=0,"At/below price",IF(M182&lt;=0.12,"&lt;=12% STR zone",IF(M182&lt;=0.25,"12-25%","&gt;25% over"))))</f>
        <v/>
      </c>
      <c r="O182" s="89" t="n">
        <v>74.98999999999999</v>
      </c>
      <c r="P182" s="92">
        <f>IF(AND(ISNUMBER(K182),ISNUMBER(O182),N(O182)&gt;0),K182/O182-1,"")</f>
        <v/>
      </c>
      <c r="Q182" s="32" t="inlineStr">
        <is>
          <t>Same size (Full). Ours live: Helium 10 Xray, 2026-10-13; 14 children</t>
        </is>
      </c>
      <c r="R182" s="88" t="n">
        <v>1970806</v>
      </c>
      <c r="S182" s="88" t="n">
        <v>5</v>
      </c>
      <c r="T182" s="93">
        <f>IF(AND(ISNUMBER(K182),ISNUMBER(S182)),K182*S182*52/12,"")</f>
        <v/>
      </c>
      <c r="U182" s="94" t="n">
        <v>3.9</v>
      </c>
      <c r="V182" s="88" t="n">
        <v>24</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89.98999999999999</v>
      </c>
      <c r="AV182" s="98" t="inlineStr">
        <is>
          <t>none</t>
        </is>
      </c>
      <c r="AW182" s="98" t="inlineStr">
        <is>
          <t>Y</t>
        </is>
      </c>
      <c r="AX182" s="98" t="inlineStr">
        <is>
          <t>2026-10-13 23:36:42</t>
        </is>
      </c>
      <c r="AY182" s="100" t="inlineStr">
        <is>
          <t>Not live in 2025</t>
        </is>
      </c>
      <c r="AZ182" s="105" t="n"/>
      <c r="BA182" s="104" t="n"/>
      <c r="BB182" s="104" t="n"/>
      <c r="BC182" s="90">
        <f>IF(AND(ISNUMBER(BA182),ISNUMBER(BB182),N(BA182)&gt;0),1-BB182/BA182,"")</f>
        <v/>
      </c>
      <c r="BD182" s="106" t="n"/>
      <c r="BE182" s="106" t="n"/>
      <c r="BF182" s="103">
        <f>IF(AND(ISNUMBER(BD182),ISNUMBER(BE182),N(BE182)&gt;0),BD182/BE182,"")</f>
        <v/>
      </c>
      <c r="BG182" s="105" t="n"/>
      <c r="BH182" s="105" t="n"/>
    </row>
    <row r="183" ht="62" customHeight="1">
      <c r="A183" s="10">
        <f>_xlfn.IMAGE("https://images-na.ssl-images-amazon.com/images/I/61qpaDyqceL.jpg")</f>
        <v/>
      </c>
      <c r="B183" s="86" t="inlineStr">
        <is>
          <t>MCO</t>
        </is>
      </c>
      <c r="C183" s="32" t="inlineStr">
        <is>
          <t>MCO 4 Piece Cooling &amp; Breathable Queen Sheet Set, Rayon Derived from Bamboo, 16" Deep Pocket, Hotel Luxury Soft Silky Queen Bedding Set for Hot Sleepers- Forest Green</t>
        </is>
      </c>
      <c r="D183" s="86" t="inlineStr">
        <is>
          <t>Untiered</t>
        </is>
      </c>
      <c r="E183" s="86" t="n"/>
      <c r="F183" s="87" t="inlineStr">
        <is>
          <t>B0FW51LMYP</t>
        </is>
      </c>
      <c r="G183" s="86" t="inlineStr">
        <is>
          <t>Queen</t>
        </is>
      </c>
      <c r="H183" s="86" t="inlineStr">
        <is>
          <t>Green</t>
        </is>
      </c>
      <c r="I183" s="88" t="n">
        <v>48</v>
      </c>
      <c r="J183" s="32" t="inlineStr"/>
      <c r="K183" s="89" t="n">
        <v>22.5</v>
      </c>
      <c r="L183" s="89" t="n"/>
      <c r="M183" s="90">
        <f>IF(AND(ISNUMBER(L183),ISNUMBER(K183),N(K183)&gt;0),L183/K183-1,"")</f>
        <v/>
      </c>
      <c r="N183" s="91">
        <f>IF(M183="","No List Price",IF(M183&lt;=0,"At/below price",IF(M183&lt;=0.12,"&lt;=12% STR zone",IF(M183&lt;=0.25,"12-25%","&gt;25% over"))))</f>
        <v/>
      </c>
      <c r="O183" s="89" t="n">
        <v>89.98999999999999</v>
      </c>
      <c r="P183" s="92">
        <f>IF(AND(ISNUMBER(K183),ISNUMBER(O183),N(O183)&gt;0),K183/O183-1,"")</f>
        <v/>
      </c>
      <c r="Q183" s="32" t="inlineStr">
        <is>
          <t>Same size (Queen). Ours live: Helium 10 Xray, 2026-10-13; 15 children</t>
        </is>
      </c>
      <c r="R183" s="88" t="n">
        <v>88098</v>
      </c>
      <c r="S183" s="88" t="n"/>
      <c r="T183" s="93">
        <f>IF(AND(ISNUMBER(K183),ISNUMBER(S183)),K183*S183*52/12,"")</f>
        <v/>
      </c>
      <c r="U183" s="94" t="n">
        <v>4</v>
      </c>
      <c r="V183" s="88" t="n">
        <v>482</v>
      </c>
      <c r="W183" s="95" t="n">
        <v>46306</v>
      </c>
      <c r="X183" s="95" t="n">
        <v>45944</v>
      </c>
      <c r="Y183" s="86" t="inlineStr">
        <is>
          <t>FBA</t>
        </is>
      </c>
      <c r="Z183" s="86" t="inlineStr">
        <is>
          <t>CN</t>
        </is>
      </c>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105" t="n"/>
      <c r="AS183" s="105" t="n"/>
      <c r="AT183" s="104" t="n"/>
      <c r="AU183" s="104" t="n"/>
      <c r="AV183" s="105" t="n"/>
      <c r="AW183" s="105" t="n"/>
      <c r="AX183" s="105" t="n"/>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_xlfn.IMAGE("https://images-na.ssl-images-amazon.com/images/I/71q7X74N9cL.jpg")</f>
        <v/>
      </c>
      <c r="B184" s="86" t="inlineStr">
        <is>
          <t>Vipfree</t>
        </is>
      </c>
      <c r="C184" s="32" t="inlineStr">
        <is>
          <t>Vipfree California King Sheet Set, Cooling Rayon 4-Piece Bedding with Deep Pockets, Sand, 300 Thread Count</t>
        </is>
      </c>
      <c r="D184" s="86" t="inlineStr">
        <is>
          <t>Untiered</t>
        </is>
      </c>
      <c r="E184" s="86" t="n"/>
      <c r="F184" s="87" t="inlineStr">
        <is>
          <t>B0DF7NK85K</t>
        </is>
      </c>
      <c r="G184" s="86" t="inlineStr">
        <is>
          <t>California King</t>
        </is>
      </c>
      <c r="H184" s="86" t="inlineStr">
        <is>
          <t>Sand</t>
        </is>
      </c>
      <c r="I184" s="88" t="n">
        <v>2</v>
      </c>
      <c r="J184" s="32" t="inlineStr"/>
      <c r="K184" s="89" t="n">
        <v>34.99</v>
      </c>
      <c r="L184" s="89" t="n"/>
      <c r="M184" s="90">
        <f>IF(AND(ISNUMBER(L184),ISNUMBER(K184),N(K184)&gt;0),L184/K184-1,"")</f>
        <v/>
      </c>
      <c r="N184" s="91">
        <f>IF(M184="","No List Price",IF(M184&lt;=0,"At/below price",IF(M184&lt;=0.12,"&lt;=12% STR zone",IF(M184&lt;=0.25,"12-25%","&gt;25% over"))))</f>
        <v/>
      </c>
      <c r="O184" s="89" t="n">
        <v>94.98999999999999</v>
      </c>
      <c r="P184" s="92">
        <f>IF(AND(ISNUMBER(K184),ISNUMBER(O184),N(O184)&gt;0),K184/O184-1,"")</f>
        <v/>
      </c>
      <c r="Q184" s="32" t="inlineStr">
        <is>
          <t>Same size (California King). Ours live: Helium 10 Xray, 2026-10-13; 15 children</t>
        </is>
      </c>
      <c r="R184" s="88" t="n">
        <v>646670</v>
      </c>
      <c r="S184" s="88" t="n"/>
      <c r="T184" s="93">
        <f>IF(AND(ISNUMBER(K184),ISNUMBER(S184)),K184*S184*52/12,"")</f>
        <v/>
      </c>
      <c r="U184" s="94" t="n">
        <v>4.4</v>
      </c>
      <c r="V184" s="88" t="n">
        <v>436</v>
      </c>
      <c r="W184" s="95" t="n">
        <v>46306</v>
      </c>
      <c r="X184" s="95" t="n">
        <v>45590</v>
      </c>
      <c r="Y184" s="86" t="inlineStr">
        <is>
          <t>FBM</t>
        </is>
      </c>
      <c r="Z184" s="86" t="inlineStr">
        <is>
          <t>N/A</t>
        </is>
      </c>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105" t="n"/>
      <c r="AS184" s="105" t="n"/>
      <c r="AT184" s="104" t="n"/>
      <c r="AU184" s="104" t="n"/>
      <c r="AV184" s="105" t="n"/>
      <c r="AW184" s="105" t="n"/>
      <c r="AX184" s="105" t="n"/>
      <c r="AY184" s="100" t="inlineStr">
        <is>
          <t>Price cut only</t>
        </is>
      </c>
      <c r="AZ184" s="100" t="inlineStr">
        <is>
          <t>11-20 to 11-20</t>
        </is>
      </c>
      <c r="BA184" s="101" t="n">
        <v>97.98999999999999</v>
      </c>
      <c r="BB184" s="101" t="n">
        <v>69.98999999999999</v>
      </c>
      <c r="BC184" s="90">
        <f>IF(AND(ISNUMBER(BA184),ISNUMBER(BB184),N(BA184)&gt;0),1-BB184/BA184,"")</f>
        <v/>
      </c>
      <c r="BD184" s="102" t="n">
        <v>128180</v>
      </c>
      <c r="BE184" s="102" t="n">
        <v>158143</v>
      </c>
      <c r="BF184" s="103">
        <f>IF(AND(ISNUMBER(BD184),ISNUMBER(BE184),N(BE184)&gt;0),BD184/BE184,"")</f>
        <v/>
      </c>
      <c r="BG184" s="105" t="n"/>
      <c r="BH184" s="100" t="inlineStr">
        <is>
          <t>List Price $97.99</t>
        </is>
      </c>
    </row>
    <row r="186" ht="20" customHeight="1">
      <c r="A186" s="53" t="inlineStr">
        <is>
          <t>5 · WHAT THIS MEANS FOR BFCM</t>
        </is>
      </c>
    </row>
    <row r="187" ht="30" customHeight="1">
      <c r="A187" s="107" t="inlineStr">
        <is>
          <t>•  Who sells most: Love's cabin ~924/wk at $37.99 (List $44.99, +18%); Bedsure ~809/wk at $62.99 (List $69.99, +11%); Pure Bamboo ~809/wk at $109.99; Hotel Sheets Direct ~347/wk at $79.99; KRIMANO ~185/wk at $79.99. Tracked rivals ~5,455 units/wk; we sell ~453/wk (7.7% of the tracked set).</t>
        </is>
      </c>
    </row>
    <row r="188" ht="18" customHeight="1">
      <c r="A188" s="107" t="inlineStr">
        <is>
          <t>•  Strikethrough: 14 of 61 rivals set a List Price above price; 2 within 12%: Bedsure +11%, AiAngu +7%.</t>
        </is>
      </c>
    </row>
    <row r="189" ht="30" customHeight="1">
      <c r="A189" s="107" t="inlineStr">
        <is>
          <t>•  Price: 38 of 61 rivals sit below our price today (same size where the title states one). Cheapest strong rivals: Love's cabin $37.99, BAMPURE $37.99, DOZ by SIJO $55.00, SONORO KATE $59.99.</t>
        </is>
      </c>
    </row>
    <row r="190" ht="30" customHeight="1">
      <c r="A190"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1" ht="30" customHeight="1">
      <c r="A191"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2" ht="30" customHeight="1">
      <c r="A192" s="107" t="inlineStr">
        <is>
          <t>•  Brand ads: Bedsure (SB 94%, SBV 65%), Pure Bamboo (SB 82%, SBV 88%), Bedsure (SB 98%, SBV 53%), BC BELLA COTERIE (SB 57%, SBV 56%), GOKOTTA (SB 8%, SBV 85%) hold Sponsored Brands / video on most of their traffic - the plan has our SB, SBV and display live by Nov 1.</t>
        </is>
      </c>
    </row>
    <row r="193" ht="18" customHeight="1">
      <c r="A193" s="107" t="inlineStr">
        <is>
          <t>•  Our BFCM 2025: 4.25x daily sales in BFCM week vs the 30 days before; TACoS 6.3% vs 11.2% before; December 1.86x.</t>
        </is>
      </c>
    </row>
    <row r="194" ht="18" customHeight="1">
      <c r="A194" s="107" t="inlineStr">
        <is>
          <t>•  Prime Day 2026: our organic visibility 0.91x vs rivals' median 1.25x (n=14) - rivals gained more event visibility than we did.</t>
        </is>
      </c>
    </row>
    <row r="195" ht="30" customHeight="1">
      <c r="A195"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6" ht="18" customHeight="1">
      <c r="A196" s="107" t="inlineStr">
        <is>
          <t>•  1 rival not in the Keepa pulls yet (yellow BFCM 2025 columns) - remaining P2 batches, AGENT_PROMPTS Prompt 2.</t>
        </is>
      </c>
    </row>
  </sheetData>
  <autoFilter ref="B123:BH184"/>
  <mergeCells count="77">
    <mergeCell ref="A1:BH1"/>
    <mergeCell ref="L8:Q8"/>
    <mergeCell ref="A13:D13"/>
    <mergeCell ref="L10:Q10"/>
    <mergeCell ref="Q13:T13"/>
    <mergeCell ref="A193:BH193"/>
    <mergeCell ref="AR122:AX122"/>
    <mergeCell ref="A192:BH192"/>
    <mergeCell ref="A4:B9"/>
    <mergeCell ref="A113:BH113"/>
    <mergeCell ref="D5:I5"/>
    <mergeCell ref="A194:BH194"/>
    <mergeCell ref="AA122:AQ122"/>
    <mergeCell ref="D6:I6"/>
    <mergeCell ref="L5:Q5"/>
    <mergeCell ref="A110:BH110"/>
    <mergeCell ref="Q11:T11"/>
    <mergeCell ref="L4:Q4"/>
    <mergeCell ref="D7:I7"/>
    <mergeCell ref="A104:C104"/>
    <mergeCell ref="I13:L13"/>
    <mergeCell ref="A196:BH196"/>
    <mergeCell ref="D4:I4"/>
    <mergeCell ref="E12:H12"/>
    <mergeCell ref="A118:BH118"/>
    <mergeCell ref="A106:C106"/>
    <mergeCell ref="Q12:T12"/>
    <mergeCell ref="A11:D11"/>
    <mergeCell ref="A120:BH120"/>
    <mergeCell ref="A3:BH3"/>
    <mergeCell ref="D8:I8"/>
    <mergeCell ref="AY122:BH122"/>
    <mergeCell ref="K122:W122"/>
    <mergeCell ref="A122:H122"/>
    <mergeCell ref="A121:BH121"/>
    <mergeCell ref="M13:P13"/>
    <mergeCell ref="A15:BH15"/>
    <mergeCell ref="A186:BH186"/>
    <mergeCell ref="A108:C108"/>
    <mergeCell ref="A101:C101"/>
    <mergeCell ref="A16:BH16"/>
    <mergeCell ref="A187:BH187"/>
    <mergeCell ref="X122:Z122"/>
    <mergeCell ref="D9:I9"/>
    <mergeCell ref="A189:BH189"/>
    <mergeCell ref="I11:L11"/>
    <mergeCell ref="L6:Q6"/>
    <mergeCell ref="M11:P11"/>
    <mergeCell ref="A188:BH188"/>
    <mergeCell ref="E13:H13"/>
    <mergeCell ref="D10:I10"/>
    <mergeCell ref="L7:Q7"/>
    <mergeCell ref="A107:C107"/>
    <mergeCell ref="A190:BH190"/>
    <mergeCell ref="A12:D12"/>
    <mergeCell ref="A112:BH112"/>
    <mergeCell ref="U13:X13"/>
    <mergeCell ref="M12:P12"/>
    <mergeCell ref="A114:BH114"/>
    <mergeCell ref="A191:BH191"/>
    <mergeCell ref="L9:Q9"/>
    <mergeCell ref="A109:C109"/>
    <mergeCell ref="T6:Y6"/>
    <mergeCell ref="A102:C102"/>
    <mergeCell ref="A195:BH195"/>
    <mergeCell ref="A116:BH116"/>
    <mergeCell ref="U11:X11"/>
    <mergeCell ref="A100:BH100"/>
    <mergeCell ref="T5:Y5"/>
    <mergeCell ref="A103:C103"/>
    <mergeCell ref="A115:BH115"/>
    <mergeCell ref="I12:L12"/>
    <mergeCell ref="A117:BH117"/>
    <mergeCell ref="A111:BH111"/>
    <mergeCell ref="T4:Y4"/>
    <mergeCell ref="U12:X12"/>
    <mergeCell ref="E11:H11"/>
  </mergeCells>
  <conditionalFormatting sqref="N124:N184">
    <cfRule type="expression" priority="1" dxfId="1">
      <formula>N124="&lt;=12% STR zone"</formula>
    </cfRule>
  </conditionalFormatting>
  <conditionalFormatting sqref="W124:W184">
    <cfRule type="expression" priority="2" dxfId="0">
      <formula>AND(ISNUMBER(W124),W124&lt;DATE(2026,10,6))</formula>
    </cfRule>
  </conditionalFormatting>
  <conditionalFormatting sqref="Q124:Q184">
    <cfRule type="expression" priority="3" dxfId="0">
      <formula>ISNUMBER(SEARCH("STALE",Q124))</formula>
    </cfRule>
  </conditionalFormatting>
  <conditionalFormatting sqref="P124:P184">
    <cfRule type="expression" priority="4" dxfId="0">
      <formula>AND(ISNUMBER(P124),P124&lt;0)</formula>
    </cfRule>
  </conditionalFormatting>
  <dataValidations count="3">
    <dataValidation sqref="AR124:AR184 BG124:BG184" showDropDown="0" showInputMessage="0" showErrorMessage="0" allowBlank="1" type="list">
      <formula1>"Y,N"</formula1>
    </dataValidation>
    <dataValidation sqref="AS124:AS184" showDropDown="0" showInputMessage="0" showErrorMessage="0" allowBlank="1" type="list">
      <formula1>"List Price,Typical price,Was price,None"</formula1>
    </dataValidation>
    <dataValidation sqref="AY124: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F151" r:id="rId56"/>
    <hyperlink xmlns:r="http://schemas.openxmlformats.org/officeDocument/2006/relationships" ref="F152" r:id="rId57"/>
    <hyperlink xmlns:r="http://schemas.openxmlformats.org/officeDocument/2006/relationships" ref="F153" r:id="rId58"/>
    <hyperlink xmlns:r="http://schemas.openxmlformats.org/officeDocument/2006/relationships" ref="E154" r:id="rId59"/>
    <hyperlink xmlns:r="http://schemas.openxmlformats.org/officeDocument/2006/relationships" ref="F154" r:id="rId60"/>
    <hyperlink xmlns:r="http://schemas.openxmlformats.org/officeDocument/2006/relationships" ref="E155" r:id="rId61"/>
    <hyperlink xmlns:r="http://schemas.openxmlformats.org/officeDocument/2006/relationships" ref="F155" r:id="rId62"/>
    <hyperlink xmlns:r="http://schemas.openxmlformats.org/officeDocument/2006/relationships" ref="E156" r:id="rId63"/>
    <hyperlink xmlns:r="http://schemas.openxmlformats.org/officeDocument/2006/relationships" ref="F156" r:id="rId64"/>
    <hyperlink xmlns:r="http://schemas.openxmlformats.org/officeDocument/2006/relationships" ref="E157" r:id="rId65"/>
    <hyperlink xmlns:r="http://schemas.openxmlformats.org/officeDocument/2006/relationships" ref="F157" r:id="rId66"/>
    <hyperlink xmlns:r="http://schemas.openxmlformats.org/officeDocument/2006/relationships" ref="E158" r:id="rId67"/>
    <hyperlink xmlns:r="http://schemas.openxmlformats.org/officeDocument/2006/relationships" ref="F158" r:id="rId68"/>
    <hyperlink xmlns:r="http://schemas.openxmlformats.org/officeDocument/2006/relationships" ref="E159" r:id="rId69"/>
    <hyperlink xmlns:r="http://schemas.openxmlformats.org/officeDocument/2006/relationships" ref="F159" r:id="rId70"/>
    <hyperlink xmlns:r="http://schemas.openxmlformats.org/officeDocument/2006/relationships" ref="E160" r:id="rId71"/>
    <hyperlink xmlns:r="http://schemas.openxmlformats.org/officeDocument/2006/relationships" ref="F160" r:id="rId72"/>
    <hyperlink xmlns:r="http://schemas.openxmlformats.org/officeDocument/2006/relationships" ref="E161" r:id="rId73"/>
    <hyperlink xmlns:r="http://schemas.openxmlformats.org/officeDocument/2006/relationships" ref="F161" r:id="rId74"/>
    <hyperlink xmlns:r="http://schemas.openxmlformats.org/officeDocument/2006/relationships" ref="E162" r:id="rId75"/>
    <hyperlink xmlns:r="http://schemas.openxmlformats.org/officeDocument/2006/relationships" ref="F162" r:id="rId76"/>
    <hyperlink xmlns:r="http://schemas.openxmlformats.org/officeDocument/2006/relationships" ref="E163" r:id="rId77"/>
    <hyperlink xmlns:r="http://schemas.openxmlformats.org/officeDocument/2006/relationships" ref="F163" r:id="rId78"/>
    <hyperlink xmlns:r="http://schemas.openxmlformats.org/officeDocument/2006/relationships" ref="E164" r:id="rId79"/>
    <hyperlink xmlns:r="http://schemas.openxmlformats.org/officeDocument/2006/relationships" ref="F164" r:id="rId80"/>
    <hyperlink xmlns:r="http://schemas.openxmlformats.org/officeDocument/2006/relationships" ref="E165" r:id="rId81"/>
    <hyperlink xmlns:r="http://schemas.openxmlformats.org/officeDocument/2006/relationships" ref="F165" r:id="rId82"/>
    <hyperlink xmlns:r="http://schemas.openxmlformats.org/officeDocument/2006/relationships" ref="E166" r:id="rId83"/>
    <hyperlink xmlns:r="http://schemas.openxmlformats.org/officeDocument/2006/relationships" ref="F166" r:id="rId84"/>
    <hyperlink xmlns:r="http://schemas.openxmlformats.org/officeDocument/2006/relationships" ref="E167" r:id="rId85"/>
    <hyperlink xmlns:r="http://schemas.openxmlformats.org/officeDocument/2006/relationships" ref="F167" r:id="rId86"/>
    <hyperlink xmlns:r="http://schemas.openxmlformats.org/officeDocument/2006/relationships" ref="E168" r:id="rId87"/>
    <hyperlink xmlns:r="http://schemas.openxmlformats.org/officeDocument/2006/relationships" ref="F168" r:id="rId88"/>
    <hyperlink xmlns:r="http://schemas.openxmlformats.org/officeDocument/2006/relationships" ref="E169" r:id="rId89"/>
    <hyperlink xmlns:r="http://schemas.openxmlformats.org/officeDocument/2006/relationships" ref="F169" r:id="rId90"/>
    <hyperlink xmlns:r="http://schemas.openxmlformats.org/officeDocument/2006/relationships" ref="E170" r:id="rId91"/>
    <hyperlink xmlns:r="http://schemas.openxmlformats.org/officeDocument/2006/relationships" ref="F170" r:id="rId92"/>
    <hyperlink xmlns:r="http://schemas.openxmlformats.org/officeDocument/2006/relationships" ref="E171" r:id="rId93"/>
    <hyperlink xmlns:r="http://schemas.openxmlformats.org/officeDocument/2006/relationships" ref="F171" r:id="rId94"/>
    <hyperlink xmlns:r="http://schemas.openxmlformats.org/officeDocument/2006/relationships" ref="F172" r:id="rId95"/>
    <hyperlink xmlns:r="http://schemas.openxmlformats.org/officeDocument/2006/relationships" ref="E173" r:id="rId96"/>
    <hyperlink xmlns:r="http://schemas.openxmlformats.org/officeDocument/2006/relationships" ref="F173" r:id="rId97"/>
    <hyperlink xmlns:r="http://schemas.openxmlformats.org/officeDocument/2006/relationships" ref="E174" r:id="rId98"/>
    <hyperlink xmlns:r="http://schemas.openxmlformats.org/officeDocument/2006/relationships" ref="F174" r:id="rId99"/>
    <hyperlink xmlns:r="http://schemas.openxmlformats.org/officeDocument/2006/relationships" ref="E175" r:id="rId100"/>
    <hyperlink xmlns:r="http://schemas.openxmlformats.org/officeDocument/2006/relationships" ref="F175" r:id="rId101"/>
    <hyperlink xmlns:r="http://schemas.openxmlformats.org/officeDocument/2006/relationships" ref="E176" r:id="rId102"/>
    <hyperlink xmlns:r="http://schemas.openxmlformats.org/officeDocument/2006/relationships" ref="F176" r:id="rId103"/>
    <hyperlink xmlns:r="http://schemas.openxmlformats.org/officeDocument/2006/relationships" ref="E177" r:id="rId104"/>
    <hyperlink xmlns:r="http://schemas.openxmlformats.org/officeDocument/2006/relationships" ref="F177" r:id="rId105"/>
    <hyperlink xmlns:r="http://schemas.openxmlformats.org/officeDocument/2006/relationships" ref="E178" r:id="rId106"/>
    <hyperlink xmlns:r="http://schemas.openxmlformats.org/officeDocument/2006/relationships" ref="F178" r:id="rId107"/>
    <hyperlink xmlns:r="http://schemas.openxmlformats.org/officeDocument/2006/relationships" ref="E179" r:id="rId108"/>
    <hyperlink xmlns:r="http://schemas.openxmlformats.org/officeDocument/2006/relationships" ref="F179" r:id="rId109"/>
    <hyperlink xmlns:r="http://schemas.openxmlformats.org/officeDocument/2006/relationships" ref="E180" r:id="rId110"/>
    <hyperlink xmlns:r="http://schemas.openxmlformats.org/officeDocument/2006/relationships" ref="F180" r:id="rId111"/>
    <hyperlink xmlns:r="http://schemas.openxmlformats.org/officeDocument/2006/relationships" ref="E181" r:id="rId112"/>
    <hyperlink xmlns:r="http://schemas.openxmlformats.org/officeDocument/2006/relationships" ref="F181" r:id="rId113"/>
    <hyperlink xmlns:r="http://schemas.openxmlformats.org/officeDocument/2006/relationships" ref="E182" r:id="rId114"/>
    <hyperlink xmlns:r="http://schemas.openxmlformats.org/officeDocument/2006/relationships" ref="F182" r:id="rId115"/>
    <hyperlink xmlns:r="http://schemas.openxmlformats.org/officeDocument/2006/relationships" ref="F183" r:id="rId116"/>
    <hyperlink xmlns:r="http://schemas.openxmlformats.org/officeDocument/2006/relationships" ref="F184"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Bamboo Sheets 4 Piece  ·  Amazon.ca (CA)  ·  Bamboo  ·  BFCM role: Hero: rank and profit  ·  Scope: Core</t>
        </is>
      </c>
    </row>
    <row r="2">
      <c r="A2" s="52" t="inlineStr">
        <is>
          <t>← Dashboard</t>
        </is>
      </c>
    </row>
    <row r="3" ht="20" customHeight="1">
      <c r="A3" s="53"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4" t="inlineStr">
        <is>
          <t>California King, Full, King, Queen, Twin</t>
        </is>
      </c>
      <c r="S4" s="11" t="inlineStr">
        <is>
          <t>Break-even ACoS</t>
        </is>
      </c>
      <c r="T4" s="54" t="inlineStr">
        <is>
          <t>47%</t>
        </is>
      </c>
    </row>
    <row r="5" ht="22" customHeight="1">
      <c r="C5" s="11" t="inlineStr">
        <is>
          <t>Brand</t>
        </is>
      </c>
      <c r="D5" s="54" t="inlineStr">
        <is>
          <t>Decolure</t>
        </is>
      </c>
      <c r="K5" s="11" t="inlineStr">
        <is>
          <t>Colours</t>
        </is>
      </c>
      <c r="L5" s="54" t="inlineStr">
        <is>
          <t>Black, Burgundy, Charcoal, Creme, Grey, Light Blue, Light Grey, Light Olive, Light Pink, Midgrey, Navy Blue, Olive, Purple, Sage Green, Taupe, White</t>
        </is>
      </c>
      <c r="S5" s="11" t="inlineStr">
        <is>
          <t>Units last 28 days</t>
        </is>
      </c>
      <c r="T5" s="54" t="inlineStr">
        <is>
          <t>479</t>
        </is>
      </c>
    </row>
    <row r="6" ht="22" customHeight="1">
      <c r="C6" s="11" t="inlineStr">
        <is>
          <t>Marketplace</t>
        </is>
      </c>
      <c r="D6" s="54" t="inlineStr">
        <is>
          <t>Amazon.ca (CA)</t>
        </is>
      </c>
      <c r="K6" s="11" t="inlineStr">
        <is>
          <t>Price now, best child</t>
        </is>
      </c>
      <c r="L6" s="54" t="inlineStr">
        <is>
          <t>$99.99 (Helium 10 Xray (Amazon.ca, CAD), 2026-10-14)</t>
        </is>
      </c>
      <c r="S6" s="11" t="inlineStr">
        <is>
          <t>Command Center product ASIN</t>
        </is>
      </c>
      <c r="T6" s="54" t="inlineStr">
        <is>
          <t>B0BZQ1G5B8 (one of our child ASINs, not the Amazon parent)</t>
        </is>
      </c>
    </row>
    <row r="7" ht="22" customHeight="1">
      <c r="C7" s="11" t="inlineStr">
        <is>
          <t>Parent ASIN (Amazon)</t>
        </is>
      </c>
      <c r="D7" s="54" t="inlineStr">
        <is>
          <t>B08LW37SB9</t>
        </is>
      </c>
      <c r="K7" s="11" t="inlineStr">
        <is>
          <t>Rating / reviews now</t>
        </is>
      </c>
      <c r="L7" s="54" t="inlineStr">
        <is>
          <t>4.4 / 5,844 (Helium 10 Xray (Amazon.ca, CAD), 2026-10-14)</t>
        </is>
      </c>
    </row>
    <row r="8" ht="22" customHeight="1">
      <c r="C8" s="11" t="inlineStr">
        <is>
          <t>Best-selling child ASIN</t>
        </is>
      </c>
      <c r="D8" s="54" t="inlineStr">
        <is>
          <t>B08KQJGM74</t>
        </is>
      </c>
      <c r="K8" s="11" t="inlineStr">
        <is>
          <t>Live prices held</t>
        </is>
      </c>
      <c r="L8" s="54" t="inlineStr">
        <is>
          <t>75 of 80 variations</t>
        </is>
      </c>
    </row>
    <row r="9" ht="22" customHeight="1">
      <c r="C9" s="11" t="inlineStr">
        <is>
          <t>Stage</t>
        </is>
      </c>
      <c r="D9" s="54" t="inlineStr">
        <is>
          <t>Re-Launch</t>
        </is>
      </c>
      <c r="K9" s="11" t="inlineStr">
        <is>
          <t>Blended price (Command Center)</t>
        </is>
      </c>
      <c r="L9" s="54" t="inlineStr">
        <is>
          <t>$98.14 - fee feed as of 2026-03-30, STALE</t>
        </is>
      </c>
    </row>
    <row r="10">
      <c r="C10" s="11" t="inlineStr">
        <is>
          <t>Total variations (SKUs)</t>
        </is>
      </c>
      <c r="D10" s="54" t="n">
        <v>80</v>
      </c>
      <c r="K10" s="11" t="inlineStr">
        <is>
          <t>Contribution / unit</t>
        </is>
      </c>
      <c r="L10" s="54" t="inlineStr">
        <is>
          <t>$45.80</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STRIKETHROUGH SHOWN</t>
        </is>
      </c>
    </row>
    <row r="12" ht="24" customHeight="1">
      <c r="A12" s="56" t="inlineStr">
        <is>
          <t>3.08x</t>
        </is>
      </c>
      <c r="E12" s="56" t="inlineStr">
        <is>
          <t>11.5%</t>
        </is>
      </c>
      <c r="I12" s="56" t="inlineStr">
        <is>
          <t>2.19x</t>
        </is>
      </c>
      <c r="M12" s="56" t="inlineStr">
        <is>
          <t>15</t>
        </is>
      </c>
      <c r="Q12" s="56" t="inlineStr">
        <is>
          <t>13</t>
        </is>
      </c>
      <c r="U12" s="56" t="inlineStr">
        <is>
          <t>8 of 15</t>
        </is>
      </c>
    </row>
    <row r="13">
      <c r="A13" s="57" t="inlineStr">
        <is>
          <t>daily sales, BFCM wk vs 30 days before (SellerBoard actual)</t>
        </is>
      </c>
      <c r="E13" s="57" t="inlineStr">
        <is>
          <t>vs 12.7% before</t>
        </is>
      </c>
      <c r="I13" s="57" t="inlineStr">
        <is>
          <t>December daily sales vs Oct 21-Nov 19</t>
        </is>
      </c>
      <c r="M13" s="57" t="inlineStr">
        <is>
          <t>Amazon.ca page research</t>
        </is>
      </c>
      <c r="Q13" s="57" t="inlineStr">
        <is>
          <t>same size, else vs our Queen</t>
        </is>
      </c>
      <c r="U13" s="57" t="inlineStr">
        <is>
          <t>on the Amazon.ca page, Oct 13</t>
        </is>
      </c>
    </row>
    <row r="15" ht="20" customHeight="1">
      <c r="A15" s="53" t="inlineStr">
        <is>
          <t>2 · OUR VARIATIONS (80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59" t="n">
        <v>99.98999999999999</v>
      </c>
      <c r="H18" s="32" t="inlineStr">
        <is>
          <t>Helium 10 Xray (Amazon.ca, CAD), 2026-10-14</t>
        </is>
      </c>
      <c r="I18" s="60" t="n">
        <v>99.98999999999999</v>
      </c>
      <c r="J18" s="61" t="inlineStr">
        <is>
          <t>2026-03-30</t>
        </is>
      </c>
      <c r="K18" s="33" t="n">
        <v>49.53999999999999</v>
      </c>
      <c r="L18" s="62" t="n">
        <v>0.4954495449544954</v>
      </c>
      <c r="M18" s="63" t="n">
        <v>36</v>
      </c>
      <c r="N18" s="32" t="inlineStr">
        <is>
          <t>Active</t>
        </is>
      </c>
      <c r="O18" s="32" t="n"/>
      <c r="P18" s="64" t="n">
        <v>4.4</v>
      </c>
      <c r="Q18" s="63" t="n">
        <v>5844</v>
      </c>
      <c r="R18" s="63" t="n">
        <v>2867</v>
      </c>
      <c r="S18" s="63"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59" t="n">
        <v>99.98999999999999</v>
      </c>
      <c r="H19" s="32" t="inlineStr">
        <is>
          <t>Helium 10 Xray (Amazon.ca, CAD), 2026-10-14</t>
        </is>
      </c>
      <c r="I19" s="60" t="n">
        <v>99.98999999999999</v>
      </c>
      <c r="J19" s="61" t="inlineStr">
        <is>
          <t>2026-03-30</t>
        </is>
      </c>
      <c r="K19" s="33" t="n">
        <v>44.84</v>
      </c>
      <c r="L19" s="62" t="n">
        <v>0.4484448444844485</v>
      </c>
      <c r="M19" s="63" t="n">
        <v>30</v>
      </c>
      <c r="N19" s="32" t="inlineStr">
        <is>
          <t>Active</t>
        </is>
      </c>
      <c r="O19" s="32" t="n"/>
      <c r="P19" s="64" t="n">
        <v>4.4</v>
      </c>
      <c r="Q19" s="63" t="n">
        <v>5844</v>
      </c>
      <c r="R19" s="63" t="n">
        <v>2867</v>
      </c>
      <c r="S19" s="63"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59" t="n">
        <v>99.98999999999999</v>
      </c>
      <c r="H20" s="32" t="inlineStr">
        <is>
          <t>Helium 10 Xray (Amazon.ca, CAD), 2026-10-14</t>
        </is>
      </c>
      <c r="I20" s="60" t="n">
        <v>99.98999999999999</v>
      </c>
      <c r="J20" s="61" t="inlineStr">
        <is>
          <t>2026-03-30</t>
        </is>
      </c>
      <c r="K20" s="33" t="n">
        <v>44.74999999999999</v>
      </c>
      <c r="L20" s="62" t="n">
        <v>0.4475447544754474</v>
      </c>
      <c r="M20" s="63" t="n">
        <v>27</v>
      </c>
      <c r="N20" s="32" t="inlineStr">
        <is>
          <t>Active</t>
        </is>
      </c>
      <c r="O20" s="32" t="n"/>
      <c r="P20" s="64" t="n">
        <v>4.4</v>
      </c>
      <c r="Q20" s="63" t="n">
        <v>5844</v>
      </c>
      <c r="R20" s="63" t="n">
        <v>2867</v>
      </c>
      <c r="S20" s="63"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59" t="n">
        <v>99.98999999999999</v>
      </c>
      <c r="H21" s="32" t="inlineStr">
        <is>
          <t>Helium 10 Xray (Amazon.ca, CAD), 2026-10-14</t>
        </is>
      </c>
      <c r="I21" s="60" t="n">
        <v>99.98999999999999</v>
      </c>
      <c r="J21" s="61" t="inlineStr">
        <is>
          <t>2026-03-30</t>
        </is>
      </c>
      <c r="K21" s="33" t="n">
        <v>49.59999999999999</v>
      </c>
      <c r="L21" s="62" t="n">
        <v>0.4960496049604959</v>
      </c>
      <c r="M21" s="63" t="n">
        <v>25</v>
      </c>
      <c r="N21" s="32" t="inlineStr">
        <is>
          <t>Active</t>
        </is>
      </c>
      <c r="O21" s="32" t="n"/>
      <c r="P21" s="64" t="n">
        <v>4.4</v>
      </c>
      <c r="Q21" s="63" t="n">
        <v>5844</v>
      </c>
      <c r="R21" s="63" t="n">
        <v>2867</v>
      </c>
      <c r="S21" s="63"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59" t="n">
        <v>99.98999999999999</v>
      </c>
      <c r="H22" s="32" t="inlineStr">
        <is>
          <t>Helium 10 Xray (Amazon.ca, CAD), 2026-10-14</t>
        </is>
      </c>
      <c r="I22" s="60" t="n">
        <v>99.98999999999999</v>
      </c>
      <c r="J22" s="61" t="inlineStr">
        <is>
          <t>2026-03-30</t>
        </is>
      </c>
      <c r="K22" s="33" t="n">
        <v>49.54999999999999</v>
      </c>
      <c r="L22" s="62" t="n">
        <v>0.4955495549554955</v>
      </c>
      <c r="M22" s="63" t="n">
        <v>25</v>
      </c>
      <c r="N22" s="32" t="inlineStr">
        <is>
          <t>Active</t>
        </is>
      </c>
      <c r="O22" s="32" t="n"/>
      <c r="P22" s="64" t="n">
        <v>4.4</v>
      </c>
      <c r="Q22" s="63" t="n">
        <v>5844</v>
      </c>
      <c r="R22" s="63" t="n">
        <v>2867</v>
      </c>
      <c r="S22" s="63"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59" t="n">
        <v>99.98999999999999</v>
      </c>
      <c r="H23" s="32" t="inlineStr">
        <is>
          <t>Helium 10 Xray (Amazon.ca, CAD), 2026-10-14</t>
        </is>
      </c>
      <c r="I23" s="60" t="n">
        <v>99.98999999999999</v>
      </c>
      <c r="J23" s="61" t="inlineStr">
        <is>
          <t>2026-03-30</t>
        </is>
      </c>
      <c r="K23" s="33" t="n">
        <v>44.52999999999999</v>
      </c>
      <c r="L23" s="62" t="n">
        <v>0.4453445344534453</v>
      </c>
      <c r="M23" s="63" t="n">
        <v>23</v>
      </c>
      <c r="N23" s="32" t="inlineStr">
        <is>
          <t>Active</t>
        </is>
      </c>
      <c r="O23" s="32" t="n"/>
      <c r="P23" s="64" t="n">
        <v>4.4</v>
      </c>
      <c r="Q23" s="63" t="n">
        <v>5844</v>
      </c>
      <c r="R23" s="63" t="n">
        <v>2867</v>
      </c>
      <c r="S23" s="63"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59" t="n">
        <v>99.98999999999999</v>
      </c>
      <c r="H24" s="32" t="inlineStr">
        <is>
          <t>Helium 10 Xray (Amazon.ca, CAD), 2026-10-14</t>
        </is>
      </c>
      <c r="I24" s="60" t="n">
        <v>99.98999999999999</v>
      </c>
      <c r="J24" s="61" t="inlineStr">
        <is>
          <t>2026-03-30</t>
        </is>
      </c>
      <c r="K24" s="33" t="n">
        <v>44.34999999999999</v>
      </c>
      <c r="L24" s="62" t="n">
        <v>0.4435443544354435</v>
      </c>
      <c r="M24" s="63" t="n">
        <v>22</v>
      </c>
      <c r="N24" s="32" t="inlineStr">
        <is>
          <t>Active</t>
        </is>
      </c>
      <c r="O24" s="32" t="n"/>
      <c r="P24" s="64" t="n">
        <v>4.4</v>
      </c>
      <c r="Q24" s="63" t="n">
        <v>5844</v>
      </c>
      <c r="R24" s="63" t="n">
        <v>2867</v>
      </c>
      <c r="S24" s="63"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59" t="n">
        <v>99.98999999999999</v>
      </c>
      <c r="H25" s="32" t="inlineStr">
        <is>
          <t>Helium 10 Xray (Amazon.ca, CAD), 2026-10-14</t>
        </is>
      </c>
      <c r="I25" s="60" t="n">
        <v>99.98999999999999</v>
      </c>
      <c r="J25" s="61" t="inlineStr">
        <is>
          <t>2026-03-30</t>
        </is>
      </c>
      <c r="K25" s="33" t="n">
        <v>45.19</v>
      </c>
      <c r="L25" s="62" t="n">
        <v>0.4519451945194519</v>
      </c>
      <c r="M25" s="63" t="n">
        <v>21</v>
      </c>
      <c r="N25" s="32" t="inlineStr">
        <is>
          <t>Active</t>
        </is>
      </c>
      <c r="O25" s="32" t="n"/>
      <c r="P25" s="64" t="n">
        <v>4.4</v>
      </c>
      <c r="Q25" s="63" t="n">
        <v>5844</v>
      </c>
      <c r="R25" s="63" t="n">
        <v>2867</v>
      </c>
      <c r="S25" s="63"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59" t="n">
        <v>99.98999999999999</v>
      </c>
      <c r="H26" s="32" t="inlineStr">
        <is>
          <t>Helium 10 Xray (Amazon.ca, CAD), 2026-10-14</t>
        </is>
      </c>
      <c r="I26" s="60" t="n">
        <v>99.98999999999999</v>
      </c>
      <c r="J26" s="61" t="inlineStr">
        <is>
          <t>2026-03-30</t>
        </is>
      </c>
      <c r="K26" s="33" t="n">
        <v>49.30999999999999</v>
      </c>
      <c r="L26" s="62" t="n">
        <v>0.493149314931493</v>
      </c>
      <c r="M26" s="63" t="n">
        <v>21</v>
      </c>
      <c r="N26" s="32" t="inlineStr">
        <is>
          <t>Active</t>
        </is>
      </c>
      <c r="O26" s="32" t="n"/>
      <c r="P26" s="64" t="n">
        <v>4.4</v>
      </c>
      <c r="Q26" s="63" t="n">
        <v>5844</v>
      </c>
      <c r="R26" s="63" t="n">
        <v>2867</v>
      </c>
      <c r="S26" s="63"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59" t="n">
        <v>99.98999999999999</v>
      </c>
      <c r="H27" s="32" t="inlineStr">
        <is>
          <t>Helium 10 Xray (Amazon.ca, CAD), 2026-10-14</t>
        </is>
      </c>
      <c r="I27" s="60" t="n">
        <v>113.86</v>
      </c>
      <c r="J27" s="61" t="inlineStr">
        <is>
          <t>2026-03-30</t>
        </is>
      </c>
      <c r="K27" s="33" t="n">
        <v>50.98999999999999</v>
      </c>
      <c r="L27" s="62" t="n">
        <v>0.4478306692429299</v>
      </c>
      <c r="M27" s="63" t="n">
        <v>19</v>
      </c>
      <c r="N27" s="32" t="inlineStr">
        <is>
          <t>Active</t>
        </is>
      </c>
      <c r="O27" s="32" t="n"/>
      <c r="P27" s="64" t="n">
        <v>4.4</v>
      </c>
      <c r="Q27" s="63" t="n">
        <v>5844</v>
      </c>
      <c r="R27" s="63" t="n">
        <v>2867</v>
      </c>
      <c r="S27" s="63"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59" t="n">
        <v>79.98999999999999</v>
      </c>
      <c r="H28" s="32" t="inlineStr">
        <is>
          <t>Helium 10 Xray (Amazon.ca, CAD), 2026-10-14</t>
        </is>
      </c>
      <c r="I28" s="60" t="n">
        <v>79.98999999999999</v>
      </c>
      <c r="J28" s="61" t="inlineStr">
        <is>
          <t>2026-03-30</t>
        </is>
      </c>
      <c r="K28" s="33" t="n">
        <v>33.75999999999999</v>
      </c>
      <c r="L28" s="62" t="n">
        <v>0.4220527565945743</v>
      </c>
      <c r="M28" s="63" t="n">
        <v>15</v>
      </c>
      <c r="N28" s="32" t="inlineStr">
        <is>
          <t>Active</t>
        </is>
      </c>
      <c r="O28" s="32" t="n"/>
      <c r="P28" s="64" t="n">
        <v>4.4</v>
      </c>
      <c r="Q28" s="63" t="n">
        <v>5844</v>
      </c>
      <c r="R28" s="63" t="n">
        <v>2867</v>
      </c>
      <c r="S28" s="63"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59" t="n">
        <v>99.98999999999999</v>
      </c>
      <c r="H29" s="32" t="inlineStr">
        <is>
          <t>Helium 10 Xray (Amazon.ca, CAD), 2026-10-14</t>
        </is>
      </c>
      <c r="I29" s="60" t="n">
        <v>99.98999999999999</v>
      </c>
      <c r="J29" s="61" t="inlineStr">
        <is>
          <t>2026-03-30</t>
        </is>
      </c>
      <c r="K29" s="33" t="n">
        <v>49.42999999999999</v>
      </c>
      <c r="L29" s="62" t="n">
        <v>0.4943494349434943</v>
      </c>
      <c r="M29" s="63" t="n">
        <v>14</v>
      </c>
      <c r="N29" s="32" t="inlineStr">
        <is>
          <t>Active</t>
        </is>
      </c>
      <c r="O29" s="32" t="n"/>
      <c r="P29" s="64" t="n">
        <v>4.4</v>
      </c>
      <c r="Q29" s="63" t="n">
        <v>5844</v>
      </c>
      <c r="R29" s="63" t="n">
        <v>2867</v>
      </c>
      <c r="S29" s="63"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59" t="n">
        <v>99.98999999999999</v>
      </c>
      <c r="H30" s="32" t="inlineStr">
        <is>
          <t>Helium 10 Xray (Amazon.ca, CAD), 2026-10-14</t>
        </is>
      </c>
      <c r="I30" s="60" t="n">
        <v>99.98999999999999</v>
      </c>
      <c r="J30" s="61" t="inlineStr">
        <is>
          <t>2026-03-30</t>
        </is>
      </c>
      <c r="K30" s="33" t="n">
        <v>48.67999999999999</v>
      </c>
      <c r="L30" s="62" t="n">
        <v>0.4868486848684868</v>
      </c>
      <c r="M30" s="63" t="n">
        <v>13</v>
      </c>
      <c r="N30" s="32" t="inlineStr">
        <is>
          <t>Active</t>
        </is>
      </c>
      <c r="O30" s="32" t="n"/>
      <c r="P30" s="64" t="n">
        <v>4.4</v>
      </c>
      <c r="Q30" s="63" t="n">
        <v>5844</v>
      </c>
      <c r="R30" s="63" t="n">
        <v>2867</v>
      </c>
      <c r="S30" s="63"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59" t="n">
        <v>99.98999999999999</v>
      </c>
      <c r="H31" s="32" t="inlineStr">
        <is>
          <t>Helium 10 Xray (Amazon.ca, CAD), 2026-10-14</t>
        </is>
      </c>
      <c r="I31" s="60" t="n">
        <v>99.98999999999999</v>
      </c>
      <c r="J31" s="61" t="inlineStr">
        <is>
          <t>2026-03-30</t>
        </is>
      </c>
      <c r="K31" s="33" t="n">
        <v>44.83</v>
      </c>
      <c r="L31" s="62" t="n">
        <v>0.4483448344834484</v>
      </c>
      <c r="M31" s="63" t="n">
        <v>12</v>
      </c>
      <c r="N31" s="32" t="inlineStr">
        <is>
          <t>Active</t>
        </is>
      </c>
      <c r="O31" s="32" t="n"/>
      <c r="P31" s="64" t="n">
        <v>4.4</v>
      </c>
      <c r="Q31" s="63" t="n">
        <v>5844</v>
      </c>
      <c r="R31" s="63" t="n">
        <v>2867</v>
      </c>
      <c r="S31" s="63"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59" t="n">
        <v>99.98999999999999</v>
      </c>
      <c r="H32" s="32" t="inlineStr">
        <is>
          <t>Helium 10 Xray (Amazon.ca, CAD), 2026-10-14</t>
        </is>
      </c>
      <c r="I32" s="60" t="n">
        <v>99.98999999999999</v>
      </c>
      <c r="J32" s="61" t="inlineStr">
        <is>
          <t>2026-03-30</t>
        </is>
      </c>
      <c r="K32" s="33" t="n">
        <v>49.12</v>
      </c>
      <c r="L32" s="62" t="n">
        <v>0.4912491249124913</v>
      </c>
      <c r="M32" s="63" t="n">
        <v>11</v>
      </c>
      <c r="N32" s="32" t="inlineStr">
        <is>
          <t>Active</t>
        </is>
      </c>
      <c r="O32" s="32" t="n"/>
      <c r="P32" s="64" t="n">
        <v>4.4</v>
      </c>
      <c r="Q32" s="63" t="n">
        <v>5844</v>
      </c>
      <c r="R32" s="63" t="n">
        <v>2867</v>
      </c>
      <c r="S32" s="63"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59" t="n">
        <v>79.98999999999999</v>
      </c>
      <c r="H33" s="32" t="inlineStr">
        <is>
          <t>Helium 10 Xray (Amazon.ca, CAD), 2026-10-14</t>
        </is>
      </c>
      <c r="I33" s="60" t="n">
        <v>79.98999999999999</v>
      </c>
      <c r="J33" s="61" t="inlineStr">
        <is>
          <t>2026-03-30</t>
        </is>
      </c>
      <c r="K33" s="33" t="n">
        <v>40.03999999999999</v>
      </c>
      <c r="L33" s="62" t="n">
        <v>0.5005625703212901</v>
      </c>
      <c r="M33" s="63" t="n">
        <v>10</v>
      </c>
      <c r="N33" s="32" t="inlineStr">
        <is>
          <t>Active</t>
        </is>
      </c>
      <c r="O33" s="32" t="n"/>
      <c r="P33" s="64" t="n">
        <v>4.4</v>
      </c>
      <c r="Q33" s="63" t="n">
        <v>5844</v>
      </c>
      <c r="R33" s="63" t="n">
        <v>2867</v>
      </c>
      <c r="S33" s="63"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59" t="n">
        <v>99.98999999999999</v>
      </c>
      <c r="H34" s="32" t="inlineStr">
        <is>
          <t>Helium 10 Xray (Amazon.ca, CAD), 2026-10-14</t>
        </is>
      </c>
      <c r="I34" s="60" t="n">
        <v>99.98999999999999</v>
      </c>
      <c r="J34" s="61" t="inlineStr">
        <is>
          <t>2026-03-30</t>
        </is>
      </c>
      <c r="K34" s="33" t="n">
        <v>43.71999999999998</v>
      </c>
      <c r="L34" s="62" t="n">
        <v>0.4372437243724371</v>
      </c>
      <c r="M34" s="63" t="n">
        <v>9</v>
      </c>
      <c r="N34" s="32" t="inlineStr">
        <is>
          <t>Active</t>
        </is>
      </c>
      <c r="O34" s="32" t="n"/>
      <c r="P34" s="64" t="n">
        <v>4.4</v>
      </c>
      <c r="Q34" s="63" t="n">
        <v>5844</v>
      </c>
      <c r="R34" s="63" t="n">
        <v>2867</v>
      </c>
      <c r="S34" s="63"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0" t="n">
        <v>99.98999999999999</v>
      </c>
      <c r="J35" s="61" t="inlineStr">
        <is>
          <t>2026-03-22</t>
        </is>
      </c>
      <c r="K35" s="33" t="n">
        <v>49.34999999999999</v>
      </c>
      <c r="L35" s="62" t="n">
        <v>0.4935493549354935</v>
      </c>
      <c r="M35" s="63" t="n">
        <v>9</v>
      </c>
      <c r="N35" s="32" t="inlineStr">
        <is>
          <t>Active</t>
        </is>
      </c>
      <c r="O35" s="32" t="n"/>
      <c r="P35" s="64" t="n"/>
      <c r="Q35" s="63" t="n"/>
      <c r="R35" s="63" t="n"/>
      <c r="S35" s="63"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59" t="n">
        <v>79.98999999999999</v>
      </c>
      <c r="H36" s="32" t="inlineStr">
        <is>
          <t>Helium 10 Xray (Amazon.ca, CAD), 2026-10-14</t>
        </is>
      </c>
      <c r="I36" s="60" t="n">
        <v>93.01000000000001</v>
      </c>
      <c r="J36" s="61" t="inlineStr">
        <is>
          <t>2026-03-30</t>
        </is>
      </c>
      <c r="K36" s="33" t="n">
        <v>39.43</v>
      </c>
      <c r="L36" s="62" t="n">
        <v>0.4239329104397376</v>
      </c>
      <c r="M36" s="63" t="n">
        <v>8</v>
      </c>
      <c r="N36" s="32" t="inlineStr">
        <is>
          <t>Active</t>
        </is>
      </c>
      <c r="O36" s="32" t="n"/>
      <c r="P36" s="64" t="n">
        <v>4.4</v>
      </c>
      <c r="Q36" s="63" t="n">
        <v>5844</v>
      </c>
      <c r="R36" s="63" t="n">
        <v>2867</v>
      </c>
      <c r="S36" s="63"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59" t="n">
        <v>79.98999999999999</v>
      </c>
      <c r="H37" s="32" t="inlineStr">
        <is>
          <t>Helium 10 Xray (Amazon.ca, CAD), 2026-10-14</t>
        </is>
      </c>
      <c r="I37" s="60" t="n">
        <v>79.98999999999999</v>
      </c>
      <c r="J37" s="61" t="inlineStr">
        <is>
          <t>2026-03-30</t>
        </is>
      </c>
      <c r="K37" s="33" t="n">
        <v>34.45</v>
      </c>
      <c r="L37" s="62" t="n">
        <v>0.4306788348543568</v>
      </c>
      <c r="M37" s="63" t="n">
        <v>8</v>
      </c>
      <c r="N37" s="32" t="inlineStr">
        <is>
          <t>Active</t>
        </is>
      </c>
      <c r="O37" s="32" t="n"/>
      <c r="P37" s="64" t="n">
        <v>4.4</v>
      </c>
      <c r="Q37" s="63" t="n">
        <v>5844</v>
      </c>
      <c r="R37" s="63" t="n">
        <v>2867</v>
      </c>
      <c r="S37" s="63"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59" t="n">
        <v>79.98999999999999</v>
      </c>
      <c r="H38" s="32" t="inlineStr">
        <is>
          <t>Helium 10 Xray (Amazon.ca, CAD), 2026-10-14</t>
        </is>
      </c>
      <c r="I38" s="60" t="n">
        <v>92.81999999999999</v>
      </c>
      <c r="J38" s="61" t="inlineStr">
        <is>
          <t>2026-03-30</t>
        </is>
      </c>
      <c r="K38" s="33" t="n">
        <v>38.87</v>
      </c>
      <c r="L38" s="62" t="n">
        <v>0.4187675070028011</v>
      </c>
      <c r="M38" s="63" t="n">
        <v>8</v>
      </c>
      <c r="N38" s="32" t="inlineStr">
        <is>
          <t>Active</t>
        </is>
      </c>
      <c r="O38" s="32" t="n"/>
      <c r="P38" s="64" t="n">
        <v>4.4</v>
      </c>
      <c r="Q38" s="63" t="n">
        <v>5844</v>
      </c>
      <c r="R38" s="63" t="n">
        <v>2843</v>
      </c>
      <c r="S38" s="63"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59" t="n">
        <v>99.98999999999999</v>
      </c>
      <c r="H39" s="32" t="inlineStr">
        <is>
          <t>Helium 10 Xray (Amazon.ca, CAD), 2026-10-14</t>
        </is>
      </c>
      <c r="I39" s="60" t="n">
        <v>99.98999999999999</v>
      </c>
      <c r="J39" s="61" t="inlineStr">
        <is>
          <t>2026-03-30</t>
        </is>
      </c>
      <c r="K39" s="33" t="n">
        <v>44.11</v>
      </c>
      <c r="L39" s="62" t="n">
        <v>0.4411441144114411</v>
      </c>
      <c r="M39" s="63" t="n">
        <v>8</v>
      </c>
      <c r="N39" s="32" t="inlineStr">
        <is>
          <t>Active</t>
        </is>
      </c>
      <c r="O39" s="32" t="n"/>
      <c r="P39" s="64" t="n">
        <v>4.4</v>
      </c>
      <c r="Q39" s="63" t="n">
        <v>5844</v>
      </c>
      <c r="R39" s="63" t="n">
        <v>2867</v>
      </c>
      <c r="S39" s="63"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59" t="n">
        <v>99.98999999999999</v>
      </c>
      <c r="H40" s="32" t="inlineStr">
        <is>
          <t>Helium 10 Xray (Amazon.ca, CAD), 2026-10-14</t>
        </is>
      </c>
      <c r="I40" s="60" t="n">
        <v>99.98999999999999</v>
      </c>
      <c r="J40" s="61" t="inlineStr">
        <is>
          <t>2026-03-30</t>
        </is>
      </c>
      <c r="K40" s="33" t="n">
        <v>49.35999999999999</v>
      </c>
      <c r="L40" s="62" t="n">
        <v>0.4936493649364935</v>
      </c>
      <c r="M40" s="63" t="n">
        <v>8</v>
      </c>
      <c r="N40" s="32" t="inlineStr">
        <is>
          <t>Active</t>
        </is>
      </c>
      <c r="O40" s="32" t="n"/>
      <c r="P40" s="64" t="n">
        <v>4.4</v>
      </c>
      <c r="Q40" s="63" t="n">
        <v>5844</v>
      </c>
      <c r="R40" s="63" t="n">
        <v>2867</v>
      </c>
      <c r="S40" s="63"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59" t="n">
        <v>99.98999999999999</v>
      </c>
      <c r="H41" s="32" t="inlineStr">
        <is>
          <t>Helium 10 Xray (Amazon.ca, CAD), 2026-10-14</t>
        </is>
      </c>
      <c r="I41" s="60" t="n">
        <v>99.98999999999999</v>
      </c>
      <c r="J41" s="61" t="inlineStr">
        <is>
          <t>2026-03-30</t>
        </is>
      </c>
      <c r="K41" s="33" t="n">
        <v>49.29</v>
      </c>
      <c r="L41" s="62" t="n">
        <v>0.4929492949294929</v>
      </c>
      <c r="M41" s="63" t="n">
        <v>8</v>
      </c>
      <c r="N41" s="32" t="inlineStr">
        <is>
          <t>Active</t>
        </is>
      </c>
      <c r="O41" s="32" t="n"/>
      <c r="P41" s="64" t="n">
        <v>4.4</v>
      </c>
      <c r="Q41" s="63" t="n">
        <v>5844</v>
      </c>
      <c r="R41" s="63" t="n">
        <v>2867</v>
      </c>
      <c r="S41" s="63"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59" t="n">
        <v>99.98999999999999</v>
      </c>
      <c r="H42" s="32" t="inlineStr">
        <is>
          <t>Helium 10 Xray (Amazon.ca, CAD), 2026-10-14</t>
        </is>
      </c>
      <c r="I42" s="60" t="n">
        <v>99.98999999999999</v>
      </c>
      <c r="J42" s="61" t="inlineStr">
        <is>
          <t>2026-03-30</t>
        </is>
      </c>
      <c r="K42" s="33" t="n">
        <v>49.39999999999999</v>
      </c>
      <c r="L42" s="62" t="n">
        <v>0.494049404940494</v>
      </c>
      <c r="M42" s="63" t="n">
        <v>8</v>
      </c>
      <c r="N42" s="32" t="inlineStr">
        <is>
          <t>Active</t>
        </is>
      </c>
      <c r="O42" s="32" t="n"/>
      <c r="P42" s="64" t="n">
        <v>4.4</v>
      </c>
      <c r="Q42" s="63" t="n">
        <v>5844</v>
      </c>
      <c r="R42" s="63" t="n">
        <v>2867</v>
      </c>
      <c r="S42" s="63"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59" t="n">
        <v>99.98999999999999</v>
      </c>
      <c r="H43" s="32" t="inlineStr">
        <is>
          <t>Helium 10 Xray (Amazon.ca, CAD), 2026-10-14</t>
        </is>
      </c>
      <c r="I43" s="60" t="n">
        <v>99.98999999999999</v>
      </c>
      <c r="J43" s="61" t="inlineStr">
        <is>
          <t>2026-03-30</t>
        </is>
      </c>
      <c r="K43" s="33" t="n">
        <v>48.36999999999999</v>
      </c>
      <c r="L43" s="62" t="n">
        <v>0.4837483748374837</v>
      </c>
      <c r="M43" s="63" t="n">
        <v>7</v>
      </c>
      <c r="N43" s="32" t="inlineStr">
        <is>
          <t>Active</t>
        </is>
      </c>
      <c r="O43" s="32" t="n"/>
      <c r="P43" s="64" t="n">
        <v>4.4</v>
      </c>
      <c r="Q43" s="63" t="n">
        <v>5844</v>
      </c>
      <c r="R43" s="63" t="n">
        <v>2867</v>
      </c>
      <c r="S43" s="63"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59" t="n">
        <v>99.98999999999999</v>
      </c>
      <c r="H44" s="32" t="inlineStr">
        <is>
          <t>Helium 10 Xray (Amazon.ca, CAD), 2026-10-14</t>
        </is>
      </c>
      <c r="I44" s="60" t="n">
        <v>113.64</v>
      </c>
      <c r="J44" s="61" t="inlineStr">
        <is>
          <t>2026-03-30</t>
        </is>
      </c>
      <c r="K44" s="33" t="n">
        <v>55.68000000000001</v>
      </c>
      <c r="L44" s="62" t="n">
        <v>0.4899683210137276</v>
      </c>
      <c r="M44" s="63" t="n">
        <v>7</v>
      </c>
      <c r="N44" s="32" t="inlineStr">
        <is>
          <t>Active</t>
        </is>
      </c>
      <c r="O44" s="32" t="n"/>
      <c r="P44" s="64" t="n">
        <v>4.4</v>
      </c>
      <c r="Q44" s="63" t="n">
        <v>5844</v>
      </c>
      <c r="R44" s="63" t="n">
        <v>2867</v>
      </c>
      <c r="S44" s="63"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59" t="n">
        <v>99.98999999999999</v>
      </c>
      <c r="H45" s="32" t="inlineStr">
        <is>
          <t>Helium 10 Xray (Amazon.ca, CAD), 2026-10-14</t>
        </is>
      </c>
      <c r="I45" s="60" t="n">
        <v>99.98999999999999</v>
      </c>
      <c r="J45" s="61" t="inlineStr">
        <is>
          <t>2026-03-30</t>
        </is>
      </c>
      <c r="K45" s="33" t="n">
        <v>45.06999999999999</v>
      </c>
      <c r="L45" s="62" t="n">
        <v>0.4507450745074507</v>
      </c>
      <c r="M45" s="63" t="n">
        <v>5</v>
      </c>
      <c r="N45" s="32" t="inlineStr">
        <is>
          <t>Active</t>
        </is>
      </c>
      <c r="O45" s="32" t="n"/>
      <c r="P45" s="64" t="n">
        <v>4.4</v>
      </c>
      <c r="Q45" s="63" t="n">
        <v>5844</v>
      </c>
      <c r="R45" s="63" t="n">
        <v>2867</v>
      </c>
      <c r="S45" s="63"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59" t="n">
        <v>154.44</v>
      </c>
      <c r="H46" s="32" t="inlineStr">
        <is>
          <t>Helium 10 Xray (Amazon.ca, CAD), 2026-10-14</t>
        </is>
      </c>
      <c r="I46" s="60" t="n">
        <v>99.98999999999999</v>
      </c>
      <c r="J46" s="61" t="inlineStr">
        <is>
          <t>2026-03-30</t>
        </is>
      </c>
      <c r="K46" s="33" t="n">
        <v>45.02999999999999</v>
      </c>
      <c r="L46" s="62" t="n">
        <v>0.4503450345034503</v>
      </c>
      <c r="M46" s="63" t="n">
        <v>5</v>
      </c>
      <c r="N46" s="32" t="inlineStr">
        <is>
          <t>Inactive</t>
        </is>
      </c>
      <c r="O46" s="32" t="n"/>
      <c r="P46" s="64" t="n">
        <v>4.4</v>
      </c>
      <c r="Q46" s="63" t="n">
        <v>5844</v>
      </c>
      <c r="R46" s="63" t="n">
        <v>2867</v>
      </c>
      <c r="S46" s="63"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0" t="n">
        <v>113.48</v>
      </c>
      <c r="J47" s="61" t="inlineStr">
        <is>
          <t>2026-03-04</t>
        </is>
      </c>
      <c r="K47" s="33" t="n">
        <v>60.55000000000001</v>
      </c>
      <c r="L47" s="62" t="n">
        <v>0.533574198096581</v>
      </c>
      <c r="M47" s="63" t="n">
        <v>5</v>
      </c>
      <c r="N47" s="65" t="inlineStr">
        <is>
          <t>Not buyable on Amazon 2026-10-14: page redirects to B0BZQ1G5B8 (California King Black) - FBA stock 0 since 2026-09-29, 48 inbound (DataHub 2026-10-14)</t>
        </is>
      </c>
      <c r="O47" s="32" t="n"/>
      <c r="P47" s="64" t="n"/>
      <c r="Q47" s="63" t="n"/>
      <c r="R47" s="63" t="n"/>
      <c r="S47" s="63"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59" t="n">
        <v>99.98999999999999</v>
      </c>
      <c r="H48" s="32" t="inlineStr">
        <is>
          <t>Helium 10 Xray (Amazon.ca, CAD), 2026-10-14</t>
        </is>
      </c>
      <c r="I48" s="60" t="n">
        <v>84.98999999999999</v>
      </c>
      <c r="J48" s="61" t="inlineStr">
        <is>
          <t>2026-03-30</t>
        </is>
      </c>
      <c r="K48" s="33" t="n">
        <v>32.44</v>
      </c>
      <c r="L48" s="62" t="n">
        <v>0.3816919637604424</v>
      </c>
      <c r="M48" s="63" t="n">
        <v>4</v>
      </c>
      <c r="N48" s="32" t="inlineStr">
        <is>
          <t>Active</t>
        </is>
      </c>
      <c r="O48" s="32" t="n"/>
      <c r="P48" s="64" t="n">
        <v>4.4</v>
      </c>
      <c r="Q48" s="63" t="n">
        <v>5844</v>
      </c>
      <c r="R48" s="63" t="n">
        <v>2867</v>
      </c>
      <c r="S48" s="63"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59" t="n">
        <v>79.98</v>
      </c>
      <c r="H49" s="32" t="inlineStr">
        <is>
          <t>Helium 10 Xray (Amazon.ca, CAD), 2026-10-14</t>
        </is>
      </c>
      <c r="I49" s="60" t="n">
        <v>79.98999999999999</v>
      </c>
      <c r="J49" s="61" t="inlineStr">
        <is>
          <t>2026-03-30</t>
        </is>
      </c>
      <c r="K49" s="33" t="n">
        <v>34.25</v>
      </c>
      <c r="L49" s="62" t="n">
        <v>0.4281785223152894</v>
      </c>
      <c r="M49" s="63" t="n">
        <v>4</v>
      </c>
      <c r="N49" s="32" t="inlineStr">
        <is>
          <t>Active</t>
        </is>
      </c>
      <c r="O49" s="32" t="n"/>
      <c r="P49" s="64" t="n">
        <v>4.4</v>
      </c>
      <c r="Q49" s="63" t="n">
        <v>5844</v>
      </c>
      <c r="R49" s="63" t="n">
        <v>2867</v>
      </c>
      <c r="S49" s="63"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59" t="n">
        <v>79.98999999999999</v>
      </c>
      <c r="H50" s="32" t="inlineStr">
        <is>
          <t>Helium 10 Xray (Amazon.ca, CAD), 2026-10-14</t>
        </is>
      </c>
      <c r="I50" s="60" t="n">
        <v>79.98999999999999</v>
      </c>
      <c r="J50" s="61" t="inlineStr">
        <is>
          <t>2026-03-30</t>
        </is>
      </c>
      <c r="K50" s="33" t="n">
        <v>38.75</v>
      </c>
      <c r="L50" s="62" t="n">
        <v>0.4844355544443056</v>
      </c>
      <c r="M50" s="63" t="n">
        <v>4</v>
      </c>
      <c r="N50" s="32" t="inlineStr">
        <is>
          <t>Active</t>
        </is>
      </c>
      <c r="O50" s="32" t="n"/>
      <c r="P50" s="64" t="n">
        <v>4.4</v>
      </c>
      <c r="Q50" s="63" t="n">
        <v>5844</v>
      </c>
      <c r="R50" s="63" t="n">
        <v>2867</v>
      </c>
      <c r="S50" s="63"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0" t="n">
        <v>92.95</v>
      </c>
      <c r="J51" s="61" t="inlineStr">
        <is>
          <t>2026-03-30</t>
        </is>
      </c>
      <c r="K51" s="33" t="n">
        <v>39.68000000000001</v>
      </c>
      <c r="L51" s="62" t="n">
        <v>0.4268961807423347</v>
      </c>
      <c r="M51" s="63" t="n">
        <v>3</v>
      </c>
      <c r="N51" s="65" t="inlineStr">
        <is>
          <t>Not buyable on Amazon 2026-10-14: page redirects to B0CRHYHS4X (California King Burgundy) - FBA stock 0 since 2026-09-27, 12 inbound (DataHub 2026-10-14)</t>
        </is>
      </c>
      <c r="O51" s="32" t="n"/>
      <c r="P51" s="64" t="n"/>
      <c r="Q51" s="63" t="n"/>
      <c r="R51" s="63" t="n"/>
      <c r="S51" s="63"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0" t="n">
        <v>92.59</v>
      </c>
      <c r="J52" s="61" t="inlineStr">
        <is>
          <t>2026-03-04</t>
        </is>
      </c>
      <c r="K52" s="33" t="n">
        <v>45.2</v>
      </c>
      <c r="L52" s="62" t="n">
        <v>0.4881736688627282</v>
      </c>
      <c r="M52" s="63" t="n">
        <v>3</v>
      </c>
      <c r="N52" s="65" t="inlineStr">
        <is>
          <t>Not buyable on Amazon 2026-10-14: page redirects to B0CLKD23ZH (California King Light Pink) - FBA stock 0 since 2026-09-08, 18 inbound (DataHub 2026-10-14)</t>
        </is>
      </c>
      <c r="O52" s="32" t="n"/>
      <c r="P52" s="64" t="n"/>
      <c r="Q52" s="63" t="n"/>
      <c r="R52" s="63" t="n"/>
      <c r="S52" s="63"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59" t="n">
        <v>99.98999999999999</v>
      </c>
      <c r="H53" s="32" t="inlineStr">
        <is>
          <t>Helium 10 Xray (Amazon.ca, CAD), 2026-10-14</t>
        </is>
      </c>
      <c r="I53" s="60" t="n">
        <v>99.98999999999999</v>
      </c>
      <c r="J53" s="61" t="inlineStr">
        <is>
          <t>2026-03-30</t>
        </is>
      </c>
      <c r="K53" s="33" t="n">
        <v>48.96</v>
      </c>
      <c r="L53" s="62" t="n">
        <v>0.4896489648964896</v>
      </c>
      <c r="M53" s="63" t="n">
        <v>3</v>
      </c>
      <c r="N53" s="32" t="inlineStr">
        <is>
          <t>Active</t>
        </is>
      </c>
      <c r="O53" s="32" t="n"/>
      <c r="P53" s="64" t="n">
        <v>4.4</v>
      </c>
      <c r="Q53" s="63" t="n">
        <v>5844</v>
      </c>
      <c r="R53" s="63" t="n">
        <v>2867</v>
      </c>
      <c r="S53" s="63"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59" t="n">
        <v>79.98999999999999</v>
      </c>
      <c r="H54" s="32" t="inlineStr">
        <is>
          <t>Helium 10 Xray (Amazon.ca, CAD), 2026-10-14</t>
        </is>
      </c>
      <c r="I54" s="60" t="n">
        <v>79.98999999999999</v>
      </c>
      <c r="J54" s="61" t="inlineStr">
        <is>
          <t>2026-03-30</t>
        </is>
      </c>
      <c r="K54" s="33" t="n">
        <v>38.66999999999999</v>
      </c>
      <c r="L54" s="62" t="n">
        <v>0.4834354294286786</v>
      </c>
      <c r="M54" s="63" t="n">
        <v>3</v>
      </c>
      <c r="N54" s="32" t="inlineStr">
        <is>
          <t>Active</t>
        </is>
      </c>
      <c r="O54" s="32" t="n"/>
      <c r="P54" s="64" t="n">
        <v>4.4</v>
      </c>
      <c r="Q54" s="63" t="n">
        <v>5844</v>
      </c>
      <c r="R54" s="63" t="n">
        <v>2867</v>
      </c>
      <c r="S54" s="63"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59" t="n">
        <v>102.48</v>
      </c>
      <c r="H55" s="32" t="inlineStr">
        <is>
          <t>Helium 10 Xray (Amazon.ca, CAD), 2026-10-14</t>
        </is>
      </c>
      <c r="I55" s="60" t="n">
        <v>79.98999999999999</v>
      </c>
      <c r="J55" s="61" t="inlineStr">
        <is>
          <t>2026-03-30</t>
        </is>
      </c>
      <c r="K55" s="33" t="n">
        <v>38.18</v>
      </c>
      <c r="L55" s="62" t="n">
        <v>0.4773096637079635</v>
      </c>
      <c r="M55" s="63" t="n">
        <v>3</v>
      </c>
      <c r="N55" s="32" t="inlineStr">
        <is>
          <t>Inactive</t>
        </is>
      </c>
      <c r="O55" s="32" t="n"/>
      <c r="P55" s="64" t="n">
        <v>4.4</v>
      </c>
      <c r="Q55" s="63" t="n">
        <v>5844</v>
      </c>
      <c r="R55" s="63" t="n">
        <v>2867</v>
      </c>
      <c r="S55" s="63"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59" t="n">
        <v>99.98999999999999</v>
      </c>
      <c r="H56" s="32" t="inlineStr">
        <is>
          <t>Helium 10 Xray (Amazon.ca, CAD), 2026-10-14</t>
        </is>
      </c>
      <c r="I56" s="60" t="n">
        <v>99.98999999999999</v>
      </c>
      <c r="J56" s="61" t="inlineStr">
        <is>
          <t>2026-03-30</t>
        </is>
      </c>
      <c r="K56" s="33" t="n">
        <v>44.95999999999999</v>
      </c>
      <c r="L56" s="62" t="n">
        <v>0.4496449644964496</v>
      </c>
      <c r="M56" s="63" t="n">
        <v>2</v>
      </c>
      <c r="N56" s="32" t="inlineStr">
        <is>
          <t>Active</t>
        </is>
      </c>
      <c r="O56" s="32" t="n"/>
      <c r="P56" s="64" t="n">
        <v>4.4</v>
      </c>
      <c r="Q56" s="63" t="n">
        <v>5844</v>
      </c>
      <c r="R56" s="63" t="n">
        <v>2867</v>
      </c>
      <c r="S56" s="63"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59" t="n">
        <v>99.98999999999999</v>
      </c>
      <c r="H57" s="32" t="inlineStr">
        <is>
          <t>Helium 10 Xray (Amazon.ca, CAD), 2026-10-14</t>
        </is>
      </c>
      <c r="I57" s="60" t="n">
        <v>99.98999999999999</v>
      </c>
      <c r="J57" s="61" t="inlineStr">
        <is>
          <t>2026-03-30</t>
        </is>
      </c>
      <c r="K57" s="33" t="n">
        <v>44.59999999999999</v>
      </c>
      <c r="L57" s="62" t="n">
        <v>0.446044604460446</v>
      </c>
      <c r="M57" s="63" t="n">
        <v>2</v>
      </c>
      <c r="N57" s="32" t="inlineStr">
        <is>
          <t>Active</t>
        </is>
      </c>
      <c r="O57" s="32" t="n"/>
      <c r="P57" s="64" t="n">
        <v>4.4</v>
      </c>
      <c r="Q57" s="63" t="n">
        <v>5844</v>
      </c>
      <c r="R57" s="63" t="n">
        <v>2867</v>
      </c>
      <c r="S57" s="63"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59" t="n">
        <v>79.98999999999999</v>
      </c>
      <c r="H58" s="32" t="inlineStr">
        <is>
          <t>Helium 10 Xray (Amazon.ca, CAD), 2026-10-14</t>
        </is>
      </c>
      <c r="I58" s="60" t="n">
        <v>93.31</v>
      </c>
      <c r="J58" s="61" t="inlineStr">
        <is>
          <t>2026-03-30</t>
        </is>
      </c>
      <c r="K58" s="33" t="n">
        <v>39.57</v>
      </c>
      <c r="L58" s="62" t="n">
        <v>0.4240703032901083</v>
      </c>
      <c r="M58" s="63" t="n">
        <v>2</v>
      </c>
      <c r="N58" s="32" t="inlineStr">
        <is>
          <t>Inactive</t>
        </is>
      </c>
      <c r="O58" s="32" t="n"/>
      <c r="P58" s="64" t="n">
        <v>4.4</v>
      </c>
      <c r="Q58" s="63" t="n">
        <v>5844</v>
      </c>
      <c r="R58" s="63" t="n">
        <v>2867</v>
      </c>
      <c r="S58" s="63"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59" t="n">
        <v>79.98999999999999</v>
      </c>
      <c r="H59" s="32" t="inlineStr">
        <is>
          <t>Helium 10 Xray (Amazon.ca, CAD), 2026-10-14</t>
        </is>
      </c>
      <c r="I59" s="33" t="n"/>
      <c r="J59" s="32" t="n"/>
      <c r="K59" s="33" t="n"/>
      <c r="L59" s="62" t="n"/>
      <c r="M59" s="63" t="n">
        <v>2</v>
      </c>
      <c r="N59" s="32" t="inlineStr">
        <is>
          <t>Active</t>
        </is>
      </c>
      <c r="O59" s="32" t="n"/>
      <c r="P59" s="64" t="n">
        <v>4.4</v>
      </c>
      <c r="Q59" s="63" t="n">
        <v>5844</v>
      </c>
      <c r="R59" s="63" t="n">
        <v>2867</v>
      </c>
      <c r="S59" s="63"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59" t="n">
        <v>79.98999999999999</v>
      </c>
      <c r="H60" s="32" t="inlineStr">
        <is>
          <t>Helium 10 Xray (Amazon.ca, CAD), 2026-10-14</t>
        </is>
      </c>
      <c r="I60" s="60" t="n">
        <v>79.98999999999999</v>
      </c>
      <c r="J60" s="61" t="inlineStr">
        <is>
          <t>2026-03-30</t>
        </is>
      </c>
      <c r="K60" s="33" t="n">
        <v>34.27999999999999</v>
      </c>
      <c r="L60" s="62" t="n">
        <v>0.4285535691961495</v>
      </c>
      <c r="M60" s="63" t="n">
        <v>2</v>
      </c>
      <c r="N60" s="32" t="inlineStr">
        <is>
          <t>Active</t>
        </is>
      </c>
      <c r="O60" s="32" t="n"/>
      <c r="P60" s="64" t="n">
        <v>4.4</v>
      </c>
      <c r="Q60" s="63" t="n">
        <v>5844</v>
      </c>
      <c r="R60" s="63" t="n">
        <v>2867</v>
      </c>
      <c r="S60" s="63"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59" t="n">
        <v>79.98999999999999</v>
      </c>
      <c r="H61" s="32" t="inlineStr">
        <is>
          <t>Helium 10 Xray (Amazon.ca, CAD), 2026-10-14</t>
        </is>
      </c>
      <c r="I61" s="60" t="n">
        <v>79.98999999999999</v>
      </c>
      <c r="J61" s="61" t="inlineStr">
        <is>
          <t>2026-03-30</t>
        </is>
      </c>
      <c r="K61" s="33" t="n">
        <v>34.70999999999999</v>
      </c>
      <c r="L61" s="62" t="n">
        <v>0.4339292411551444</v>
      </c>
      <c r="M61" s="63" t="n">
        <v>2</v>
      </c>
      <c r="N61" s="32" t="inlineStr">
        <is>
          <t>Inactive</t>
        </is>
      </c>
      <c r="O61" s="32" t="n"/>
      <c r="P61" s="64" t="n">
        <v>4.4</v>
      </c>
      <c r="Q61" s="63" t="n">
        <v>5844</v>
      </c>
      <c r="R61" s="63" t="n">
        <v>2867</v>
      </c>
      <c r="S61" s="63"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59" t="n">
        <v>99.98999999999999</v>
      </c>
      <c r="H62" s="32" t="inlineStr">
        <is>
          <t>Helium 10 Xray (Amazon.ca, CAD), 2026-10-14</t>
        </is>
      </c>
      <c r="I62" s="60" t="n">
        <v>99.98999999999999</v>
      </c>
      <c r="J62" s="61" t="inlineStr">
        <is>
          <t>2026-03-30</t>
        </is>
      </c>
      <c r="K62" s="33" t="n">
        <v>44.46999999999999</v>
      </c>
      <c r="L62" s="62" t="n">
        <v>0.4447444744474447</v>
      </c>
      <c r="M62" s="63" t="n">
        <v>2</v>
      </c>
      <c r="N62" s="32" t="inlineStr">
        <is>
          <t>Active</t>
        </is>
      </c>
      <c r="O62" s="32" t="n"/>
      <c r="P62" s="64" t="n">
        <v>4.4</v>
      </c>
      <c r="Q62" s="63" t="n">
        <v>5844</v>
      </c>
      <c r="R62" s="63" t="n">
        <v>2843</v>
      </c>
      <c r="S62" s="63"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59" t="n">
        <v>99.98999999999999</v>
      </c>
      <c r="H63" s="32" t="inlineStr">
        <is>
          <t>Helium 10 Xray (Amazon.ca, CAD), 2026-10-14</t>
        </is>
      </c>
      <c r="I63" s="60" t="n">
        <v>99.98999999999999</v>
      </c>
      <c r="J63" s="61" t="inlineStr">
        <is>
          <t>2026-03-30</t>
        </is>
      </c>
      <c r="K63" s="33" t="n">
        <v>43.33999999999999</v>
      </c>
      <c r="L63" s="62" t="n">
        <v>0.4334433443344334</v>
      </c>
      <c r="M63" s="63" t="n">
        <v>1</v>
      </c>
      <c r="N63" s="32" t="inlineStr">
        <is>
          <t>Active</t>
        </is>
      </c>
      <c r="O63" s="32" t="n"/>
      <c r="P63" s="64" t="n">
        <v>4.4</v>
      </c>
      <c r="Q63" s="63" t="n">
        <v>5844</v>
      </c>
      <c r="R63" s="63" t="n">
        <v>2867</v>
      </c>
      <c r="S63" s="63"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59" t="n">
        <v>99.98999999999999</v>
      </c>
      <c r="H64" s="32" t="inlineStr">
        <is>
          <t>Helium 10 Xray (Amazon.ca, CAD), 2026-10-14</t>
        </is>
      </c>
      <c r="I64" s="60" t="n">
        <v>99.98999999999999</v>
      </c>
      <c r="J64" s="61" t="inlineStr">
        <is>
          <t>2026-03-30</t>
        </is>
      </c>
      <c r="K64" s="33" t="n">
        <v>43.48</v>
      </c>
      <c r="L64" s="62" t="n">
        <v>0.4348434843484348</v>
      </c>
      <c r="M64" s="63" t="n">
        <v>1</v>
      </c>
      <c r="N64" s="32" t="inlineStr">
        <is>
          <t>Active</t>
        </is>
      </c>
      <c r="O64" s="32" t="n"/>
      <c r="P64" s="64" t="n">
        <v>4.4</v>
      </c>
      <c r="Q64" s="63" t="n">
        <v>5844</v>
      </c>
      <c r="R64" s="63" t="n">
        <v>2867</v>
      </c>
      <c r="S64" s="63"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59" t="n">
        <v>99.98999999999999</v>
      </c>
      <c r="H65" s="32" t="inlineStr">
        <is>
          <t>Helium 10 Xray (Amazon.ca, CAD), 2026-10-14</t>
        </is>
      </c>
      <c r="I65" s="60" t="n">
        <v>99.98999999999999</v>
      </c>
      <c r="J65" s="61" t="inlineStr">
        <is>
          <t>2026-03-30</t>
        </is>
      </c>
      <c r="K65" s="33" t="n">
        <v>44.69999999999999</v>
      </c>
      <c r="L65" s="62" t="n">
        <v>0.447044704470447</v>
      </c>
      <c r="M65" s="63" t="n">
        <v>1</v>
      </c>
      <c r="N65" s="32" t="inlineStr">
        <is>
          <t>Active</t>
        </is>
      </c>
      <c r="O65" s="32" t="n"/>
      <c r="P65" s="64" t="n">
        <v>4.4</v>
      </c>
      <c r="Q65" s="63" t="n">
        <v>5844</v>
      </c>
      <c r="R65" s="63" t="n">
        <v>2867</v>
      </c>
      <c r="S65" s="63"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59" t="n">
        <v>99.98999999999999</v>
      </c>
      <c r="H66" s="32" t="inlineStr">
        <is>
          <t>Helium 10 Xray (Amazon.ca, CAD), 2026-10-14</t>
        </is>
      </c>
      <c r="I66" s="60" t="n">
        <v>99.98999999999999</v>
      </c>
      <c r="J66" s="61" t="inlineStr">
        <is>
          <t>2026-03-30</t>
        </is>
      </c>
      <c r="K66" s="33" t="n">
        <v>45.2</v>
      </c>
      <c r="L66" s="62" t="n">
        <v>0.4520452045204521</v>
      </c>
      <c r="M66" s="63" t="n">
        <v>1</v>
      </c>
      <c r="N66" s="32" t="inlineStr">
        <is>
          <t>Active</t>
        </is>
      </c>
      <c r="O66" s="32" t="n"/>
      <c r="P66" s="64" t="n">
        <v>4.4</v>
      </c>
      <c r="Q66" s="63" t="n">
        <v>5844</v>
      </c>
      <c r="R66" s="63" t="n">
        <v>2867</v>
      </c>
      <c r="S66" s="63"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59" t="n">
        <v>99.98999999999999</v>
      </c>
      <c r="H67" s="32" t="inlineStr">
        <is>
          <t>Helium 10 Xray (Amazon.ca, CAD), 2026-10-14</t>
        </is>
      </c>
      <c r="I67" s="60" t="n">
        <v>99.98999999999999</v>
      </c>
      <c r="J67" s="61" t="inlineStr">
        <is>
          <t>2026-03-30</t>
        </is>
      </c>
      <c r="K67" s="33" t="n">
        <v>44.78</v>
      </c>
      <c r="L67" s="62" t="n">
        <v>0.4478447844784479</v>
      </c>
      <c r="M67" s="63" t="n">
        <v>1</v>
      </c>
      <c r="N67" s="32" t="inlineStr">
        <is>
          <t>Inactive</t>
        </is>
      </c>
      <c r="O67" s="32" t="n"/>
      <c r="P67" s="64" t="n">
        <v>4.4</v>
      </c>
      <c r="Q67" s="63" t="n">
        <v>5844</v>
      </c>
      <c r="R67" s="63" t="n">
        <v>2867</v>
      </c>
      <c r="S67" s="63"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59" t="n">
        <v>79.98999999999999</v>
      </c>
      <c r="H68" s="32" t="inlineStr">
        <is>
          <t>Helium 10 Xray (Amazon.ca, CAD), 2026-10-14</t>
        </is>
      </c>
      <c r="I68" s="60" t="n">
        <v>92.36</v>
      </c>
      <c r="J68" s="61" t="inlineStr">
        <is>
          <t>2026-03-30</t>
        </is>
      </c>
      <c r="K68" s="33" t="n">
        <v>39.60000000000001</v>
      </c>
      <c r="L68" s="62" t="n">
        <v>0.4287570376786489</v>
      </c>
      <c r="M68" s="63" t="n">
        <v>1</v>
      </c>
      <c r="N68" s="32" t="inlineStr">
        <is>
          <t>Active</t>
        </is>
      </c>
      <c r="O68" s="32" t="n"/>
      <c r="P68" s="64" t="n">
        <v>4.4</v>
      </c>
      <c r="Q68" s="63" t="n">
        <v>5844</v>
      </c>
      <c r="R68" s="63" t="n">
        <v>2867</v>
      </c>
      <c r="S68" s="63"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59" t="n">
        <v>79.98999999999999</v>
      </c>
      <c r="H69" s="32" t="inlineStr">
        <is>
          <t>Helium 10 Xray (Amazon.ca, CAD), 2026-10-14</t>
        </is>
      </c>
      <c r="I69" s="60" t="n">
        <v>92.14</v>
      </c>
      <c r="J69" s="61" t="inlineStr">
        <is>
          <t>2026-03-30</t>
        </is>
      </c>
      <c r="K69" s="33" t="n">
        <v>39.20999999999999</v>
      </c>
      <c r="L69" s="62" t="n">
        <v>0.4255480790102018</v>
      </c>
      <c r="M69" s="63" t="n">
        <v>1</v>
      </c>
      <c r="N69" s="32" t="inlineStr">
        <is>
          <t>Active</t>
        </is>
      </c>
      <c r="O69" s="32" t="n"/>
      <c r="P69" s="64" t="n">
        <v>4.4</v>
      </c>
      <c r="Q69" s="63" t="n">
        <v>5844</v>
      </c>
      <c r="R69" s="63" t="n">
        <v>2867</v>
      </c>
      <c r="S69" s="63"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59" t="n">
        <v>99.98999999999999</v>
      </c>
      <c r="H70" s="32" t="inlineStr">
        <is>
          <t>Helium 10 Xray (Amazon.ca, CAD), 2026-10-14</t>
        </is>
      </c>
      <c r="I70" s="60" t="n">
        <v>115.68</v>
      </c>
      <c r="J70" s="61" t="inlineStr">
        <is>
          <t>2026-03-30</t>
        </is>
      </c>
      <c r="K70" s="33" t="n">
        <v>51.41000000000001</v>
      </c>
      <c r="L70" s="62" t="n">
        <v>0.4444156293222685</v>
      </c>
      <c r="M70" s="63" t="n">
        <v>1</v>
      </c>
      <c r="N70" s="32" t="inlineStr">
        <is>
          <t>Active</t>
        </is>
      </c>
      <c r="O70" s="32" t="n"/>
      <c r="P70" s="64" t="n">
        <v>4.4</v>
      </c>
      <c r="Q70" s="63" t="n">
        <v>5844</v>
      </c>
      <c r="R70" s="63" t="n">
        <v>2867</v>
      </c>
      <c r="S70" s="63"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59" t="n">
        <v>79.98999999999999</v>
      </c>
      <c r="H71" s="32" t="inlineStr">
        <is>
          <t>Helium 10 Xray (Amazon.ca, CAD), 2026-10-14</t>
        </is>
      </c>
      <c r="I71" s="60" t="n">
        <v>79.98999999999999</v>
      </c>
      <c r="J71" s="61" t="inlineStr">
        <is>
          <t>2026-03-30</t>
        </is>
      </c>
      <c r="K71" s="33" t="n">
        <v>38.87</v>
      </c>
      <c r="L71" s="62" t="n">
        <v>0.485935741967746</v>
      </c>
      <c r="M71" s="63" t="n">
        <v>1</v>
      </c>
      <c r="N71" s="32" t="inlineStr">
        <is>
          <t>Active</t>
        </is>
      </c>
      <c r="O71" s="32" t="n"/>
      <c r="P71" s="64" t="n">
        <v>4.4</v>
      </c>
      <c r="Q71" s="63" t="n">
        <v>5844</v>
      </c>
      <c r="R71" s="63" t="n">
        <v>2867</v>
      </c>
      <c r="S71" s="63"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59" t="n">
        <v>79.98999999999999</v>
      </c>
      <c r="H72" s="32" t="inlineStr">
        <is>
          <t>Helium 10 Xray (Amazon.ca, CAD), 2026-10-14</t>
        </is>
      </c>
      <c r="I72" s="60" t="n">
        <v>79.98999999999999</v>
      </c>
      <c r="J72" s="61" t="inlineStr">
        <is>
          <t>2026-03-30</t>
        </is>
      </c>
      <c r="K72" s="33" t="n">
        <v>39.41</v>
      </c>
      <c r="L72" s="62" t="n">
        <v>0.4926865858232279</v>
      </c>
      <c r="M72" s="63" t="n">
        <v>1</v>
      </c>
      <c r="N72" s="32" t="inlineStr">
        <is>
          <t>Active</t>
        </is>
      </c>
      <c r="O72" s="32" t="n"/>
      <c r="P72" s="64" t="n">
        <v>4.4</v>
      </c>
      <c r="Q72" s="63" t="n">
        <v>5844</v>
      </c>
      <c r="R72" s="63" t="n">
        <v>2867</v>
      </c>
      <c r="S72" s="63"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59" t="n">
        <v>79.98999999999999</v>
      </c>
      <c r="H73" s="32" t="inlineStr">
        <is>
          <t>Helium 10 Xray (Amazon.ca, CAD), 2026-10-14</t>
        </is>
      </c>
      <c r="I73" s="60" t="n">
        <v>79.98999999999999</v>
      </c>
      <c r="J73" s="61" t="inlineStr">
        <is>
          <t>2026-03-30</t>
        </is>
      </c>
      <c r="K73" s="33" t="n">
        <v>39.62</v>
      </c>
      <c r="L73" s="62" t="n">
        <v>0.4953119139892487</v>
      </c>
      <c r="M73" s="63" t="n">
        <v>1</v>
      </c>
      <c r="N73" s="32" t="inlineStr">
        <is>
          <t>Active</t>
        </is>
      </c>
      <c r="O73" s="32" t="n"/>
      <c r="P73" s="64" t="n">
        <v>4.4</v>
      </c>
      <c r="Q73" s="63" t="n">
        <v>5844</v>
      </c>
      <c r="R73" s="63" t="n">
        <v>2867</v>
      </c>
      <c r="S73" s="63"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59" t="n">
        <v>156.79</v>
      </c>
      <c r="H74" s="32" t="inlineStr">
        <is>
          <t>Helium 10 Xray (Amazon.ca, CAD), 2026-10-14</t>
        </is>
      </c>
      <c r="I74" s="60" t="n">
        <v>99.98999999999999</v>
      </c>
      <c r="J74" s="61" t="inlineStr">
        <is>
          <t>2026-03-30</t>
        </is>
      </c>
      <c r="K74" s="33" t="n">
        <v>44.33</v>
      </c>
      <c r="L74" s="62" t="n">
        <v>0.4433443344334434</v>
      </c>
      <c r="M74" s="63" t="n"/>
      <c r="N74" s="32" t="inlineStr">
        <is>
          <t>Inactive</t>
        </is>
      </c>
      <c r="O74" s="32" t="n"/>
      <c r="P74" s="64" t="n">
        <v>4.4</v>
      </c>
      <c r="Q74" s="63" t="n">
        <v>5844</v>
      </c>
      <c r="R74" s="63" t="n">
        <v>2867</v>
      </c>
      <c r="S74" s="63"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59" t="n">
        <v>99.98999999999999</v>
      </c>
      <c r="H75" s="32" t="inlineStr">
        <is>
          <t>Helium 10 Xray (Amazon.ca, CAD), 2026-10-14</t>
        </is>
      </c>
      <c r="I75" s="60" t="n">
        <v>99.98999999999999</v>
      </c>
      <c r="J75" s="61" t="inlineStr">
        <is>
          <t>2026-03-30</t>
        </is>
      </c>
      <c r="K75" s="33" t="n">
        <v>44.95999999999999</v>
      </c>
      <c r="L75" s="62" t="n">
        <v>0.4496449644964496</v>
      </c>
      <c r="M75" s="63" t="n">
        <v>0</v>
      </c>
      <c r="N75" s="32" t="inlineStr">
        <is>
          <t>Active</t>
        </is>
      </c>
      <c r="O75" s="32" t="n"/>
      <c r="P75" s="64" t="n">
        <v>4.4</v>
      </c>
      <c r="Q75" s="63" t="n">
        <v>5844</v>
      </c>
      <c r="R75" s="63" t="n">
        <v>2867</v>
      </c>
      <c r="S75" s="63"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59" t="n">
        <v>95</v>
      </c>
      <c r="H76" s="32" t="inlineStr">
        <is>
          <t>Helium 10 Xray (Amazon.ca, CAD), 2026-10-14</t>
        </is>
      </c>
      <c r="I76" s="60" t="n">
        <v>99.98999999999999</v>
      </c>
      <c r="J76" s="61" t="inlineStr">
        <is>
          <t>2026-03-30</t>
        </is>
      </c>
      <c r="K76" s="33" t="n">
        <v>44.01999999999999</v>
      </c>
      <c r="L76" s="62" t="n">
        <v>0.4402440244024401</v>
      </c>
      <c r="M76" s="63" t="n"/>
      <c r="N76" s="32" t="inlineStr">
        <is>
          <t>Inactive</t>
        </is>
      </c>
      <c r="O76" s="32" t="n"/>
      <c r="P76" s="64" t="n">
        <v>4.4</v>
      </c>
      <c r="Q76" s="63" t="n">
        <v>5844</v>
      </c>
      <c r="R76" s="63" t="n">
        <v>2867</v>
      </c>
      <c r="S76" s="63"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59" t="n">
        <v>99.98999999999999</v>
      </c>
      <c r="H77" s="32" t="inlineStr">
        <is>
          <t>Helium 10 Xray (Amazon.ca, CAD), 2026-10-14</t>
        </is>
      </c>
      <c r="I77" s="60" t="n">
        <v>99.98999999999999</v>
      </c>
      <c r="J77" s="61" t="inlineStr">
        <is>
          <t>2026-03-30</t>
        </is>
      </c>
      <c r="K77" s="33" t="n">
        <v>44.51000000000001</v>
      </c>
      <c r="L77" s="62" t="n">
        <v>0.4451445144514452</v>
      </c>
      <c r="M77" s="63" t="n">
        <v>0</v>
      </c>
      <c r="N77" s="32" t="inlineStr">
        <is>
          <t>Active</t>
        </is>
      </c>
      <c r="O77" s="32" t="n"/>
      <c r="P77" s="64" t="n">
        <v>4.4</v>
      </c>
      <c r="Q77" s="63" t="n">
        <v>5844</v>
      </c>
      <c r="R77" s="63" t="n">
        <v>2867</v>
      </c>
      <c r="S77" s="63"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59" t="n">
        <v>99.98999999999999</v>
      </c>
      <c r="H78" s="32" t="inlineStr">
        <is>
          <t>Helium 10 Xray (Amazon.ca, CAD), 2026-10-14</t>
        </is>
      </c>
      <c r="I78" s="60" t="n">
        <v>99.98999999999999</v>
      </c>
      <c r="J78" s="61" t="inlineStr">
        <is>
          <t>2026-03-30</t>
        </is>
      </c>
      <c r="K78" s="33" t="n">
        <v>44.78</v>
      </c>
      <c r="L78" s="62" t="n">
        <v>0.4478447844784479</v>
      </c>
      <c r="M78" s="63" t="n">
        <v>0</v>
      </c>
      <c r="N78" s="32" t="inlineStr">
        <is>
          <t>Active</t>
        </is>
      </c>
      <c r="O78" s="32" t="n"/>
      <c r="P78" s="64" t="n">
        <v>4.4</v>
      </c>
      <c r="Q78" s="63" t="n">
        <v>5844</v>
      </c>
      <c r="R78" s="63" t="n">
        <v>2867</v>
      </c>
      <c r="S78" s="63"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59" t="n">
        <v>99.98999999999999</v>
      </c>
      <c r="H79" s="32" t="inlineStr">
        <is>
          <t>Helium 10 Xray (Amazon.ca, CAD), 2026-10-14</t>
        </is>
      </c>
      <c r="I79" s="60" t="n">
        <v>99.98999999999999</v>
      </c>
      <c r="J79" s="61" t="inlineStr">
        <is>
          <t>2026-03-30</t>
        </is>
      </c>
      <c r="K79" s="33" t="n">
        <v>44.41</v>
      </c>
      <c r="L79" s="62" t="n">
        <v>0.4441444144414441</v>
      </c>
      <c r="M79" s="63" t="n">
        <v>0</v>
      </c>
      <c r="N79" s="32" t="inlineStr">
        <is>
          <t>Active</t>
        </is>
      </c>
      <c r="O79" s="32" t="n"/>
      <c r="P79" s="64" t="n">
        <v>4.4</v>
      </c>
      <c r="Q79" s="63" t="n">
        <v>5844</v>
      </c>
      <c r="R79" s="63" t="n">
        <v>2867</v>
      </c>
      <c r="S79" s="63"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59" t="n">
        <v>99.98999999999999</v>
      </c>
      <c r="H80" s="32" t="inlineStr">
        <is>
          <t>Helium 10 Xray (Amazon.ca, CAD), 2026-10-14</t>
        </is>
      </c>
      <c r="I80" s="60" t="n">
        <v>99.98999999999999</v>
      </c>
      <c r="J80" s="61" t="inlineStr">
        <is>
          <t>2026-03-30</t>
        </is>
      </c>
      <c r="K80" s="33" t="n">
        <v>44.95999999999999</v>
      </c>
      <c r="L80" s="62" t="n">
        <v>0.4496449644964496</v>
      </c>
      <c r="M80" s="63" t="n">
        <v>0</v>
      </c>
      <c r="N80" s="32" t="inlineStr">
        <is>
          <t>Active</t>
        </is>
      </c>
      <c r="O80" s="32" t="n"/>
      <c r="P80" s="64" t="n">
        <v>4.4</v>
      </c>
      <c r="Q80" s="63" t="n">
        <v>5844</v>
      </c>
      <c r="R80" s="63" t="n">
        <v>2867</v>
      </c>
      <c r="S80" s="63"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59" t="n">
        <v>99.11</v>
      </c>
      <c r="H81" s="32" t="inlineStr">
        <is>
          <t>Helium 10 Xray (Amazon.ca, CAD), 2026-10-14</t>
        </is>
      </c>
      <c r="I81" s="60" t="n">
        <v>92.98</v>
      </c>
      <c r="J81" s="61" t="inlineStr">
        <is>
          <t>2026-03-30</t>
        </is>
      </c>
      <c r="K81" s="33" t="n">
        <v>39.67</v>
      </c>
      <c r="L81" s="62" t="n">
        <v>0.4266508926650893</v>
      </c>
      <c r="M81" s="63" t="n">
        <v>0</v>
      </c>
      <c r="N81" s="32" t="inlineStr">
        <is>
          <t>Inactive</t>
        </is>
      </c>
      <c r="O81" s="32" t="n"/>
      <c r="P81" s="64" t="n">
        <v>4.4</v>
      </c>
      <c r="Q81" s="63" t="n">
        <v>5844</v>
      </c>
      <c r="R81" s="63" t="n">
        <v>2867</v>
      </c>
      <c r="S81" s="63"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0" t="n">
        <v>90.72</v>
      </c>
      <c r="J82" s="61" t="inlineStr">
        <is>
          <t>2026-03-30</t>
        </is>
      </c>
      <c r="K82" s="33" t="n">
        <v>38.14</v>
      </c>
      <c r="L82" s="62" t="n">
        <v>0.4204144620811288</v>
      </c>
      <c r="M82" s="63" t="n"/>
      <c r="N82" s="32" t="inlineStr">
        <is>
          <t>Inactive</t>
        </is>
      </c>
      <c r="O82" s="32" t="n"/>
      <c r="P82" s="64" t="n"/>
      <c r="Q82" s="63" t="n"/>
      <c r="R82" s="63" t="n"/>
      <c r="S82" s="63"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59" t="n">
        <v>79.98999999999999</v>
      </c>
      <c r="H83" s="32" t="inlineStr">
        <is>
          <t>Helium 10 Xray (Amazon.ca, CAD), 2026-10-14</t>
        </is>
      </c>
      <c r="I83" s="60" t="n">
        <v>79.98999999999999</v>
      </c>
      <c r="J83" s="61" t="inlineStr">
        <is>
          <t>2026-03-30</t>
        </is>
      </c>
      <c r="K83" s="33" t="n">
        <v>34.3</v>
      </c>
      <c r="L83" s="62" t="n">
        <v>0.4288036004500562</v>
      </c>
      <c r="M83" s="63" t="n">
        <v>0</v>
      </c>
      <c r="N83" s="32" t="inlineStr">
        <is>
          <t>Inactive</t>
        </is>
      </c>
      <c r="O83" s="32" t="n"/>
      <c r="P83" s="64" t="n">
        <v>4.4</v>
      </c>
      <c r="Q83" s="63" t="n">
        <v>5844</v>
      </c>
      <c r="R83" s="63" t="n">
        <v>2867</v>
      </c>
      <c r="S83" s="63"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59" t="n">
        <v>99.98999999999999</v>
      </c>
      <c r="H84" s="32" t="inlineStr">
        <is>
          <t>Helium 10 Xray (Amazon.ca, CAD), 2026-10-14</t>
        </is>
      </c>
      <c r="I84" s="60" t="n">
        <v>99.98999999999999</v>
      </c>
      <c r="J84" s="61" t="inlineStr">
        <is>
          <t>2026-03-30</t>
        </is>
      </c>
      <c r="K84" s="33" t="n">
        <v>44.38</v>
      </c>
      <c r="L84" s="62" t="n">
        <v>0.4438443844384438</v>
      </c>
      <c r="M84" s="63" t="n"/>
      <c r="N84" s="32" t="inlineStr">
        <is>
          <t>Inactive</t>
        </is>
      </c>
      <c r="O84" s="32" t="n"/>
      <c r="P84" s="64" t="n">
        <v>4.4</v>
      </c>
      <c r="Q84" s="63" t="n">
        <v>5844</v>
      </c>
      <c r="R84" s="63" t="n">
        <v>2867</v>
      </c>
      <c r="S84" s="63"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59" t="n">
        <v>210.25</v>
      </c>
      <c r="H85" s="32" t="inlineStr">
        <is>
          <t>Helium 10 Xray (Amazon.ca, CAD), 2026-10-14</t>
        </is>
      </c>
      <c r="I85" s="60" t="n">
        <v>99.98999999999999</v>
      </c>
      <c r="J85" s="61" t="inlineStr">
        <is>
          <t>2026-03-30</t>
        </is>
      </c>
      <c r="K85" s="33" t="n">
        <v>44.66</v>
      </c>
      <c r="L85" s="62" t="n">
        <v>0.4466446644664466</v>
      </c>
      <c r="M85" s="63" t="n"/>
      <c r="N85" s="32" t="inlineStr">
        <is>
          <t>Inactive</t>
        </is>
      </c>
      <c r="O85" s="32" t="n"/>
      <c r="P85" s="64" t="n">
        <v>4.4</v>
      </c>
      <c r="Q85" s="63" t="n">
        <v>5844</v>
      </c>
      <c r="R85" s="63" t="n">
        <v>2867</v>
      </c>
      <c r="S85" s="63"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59" t="n">
        <v>99.98999999999999</v>
      </c>
      <c r="H86" s="32" t="inlineStr">
        <is>
          <t>Helium 10 Xray (Amazon.ca, CAD), 2026-10-14</t>
        </is>
      </c>
      <c r="I86" s="60" t="n">
        <v>99.98999999999999</v>
      </c>
      <c r="J86" s="61" t="inlineStr">
        <is>
          <t>2026-03-30</t>
        </is>
      </c>
      <c r="K86" s="33" t="n">
        <v>45.48</v>
      </c>
      <c r="L86" s="62" t="n">
        <v>0.454845484548455</v>
      </c>
      <c r="M86" s="63" t="n">
        <v>0</v>
      </c>
      <c r="N86" s="32" t="inlineStr">
        <is>
          <t>Inactive</t>
        </is>
      </c>
      <c r="O86" s="32" t="n"/>
      <c r="P86" s="64" t="n">
        <v>4.4</v>
      </c>
      <c r="Q86" s="63" t="n">
        <v>5844</v>
      </c>
      <c r="R86" s="63" t="n">
        <v>2867</v>
      </c>
      <c r="S86" s="63"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59" t="n">
        <v>142.37</v>
      </c>
      <c r="H87" s="32" t="inlineStr">
        <is>
          <t>Helium 10 Xray (Amazon.ca, CAD), 2026-10-14</t>
        </is>
      </c>
      <c r="I87" s="60" t="n">
        <v>99.98999999999999</v>
      </c>
      <c r="J87" s="61" t="inlineStr">
        <is>
          <t>2026-03-30</t>
        </is>
      </c>
      <c r="K87" s="33" t="n">
        <v>44.38</v>
      </c>
      <c r="L87" s="62" t="n">
        <v>0.4438443844384438</v>
      </c>
      <c r="M87" s="63" t="n">
        <v>0</v>
      </c>
      <c r="N87" s="32" t="inlineStr">
        <is>
          <t>Inactive</t>
        </is>
      </c>
      <c r="O87" s="32" t="n"/>
      <c r="P87" s="64" t="n">
        <v>4.4</v>
      </c>
      <c r="Q87" s="63" t="n">
        <v>5844</v>
      </c>
      <c r="R87" s="63" t="n">
        <v>2867</v>
      </c>
      <c r="S87" s="63"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59" t="n">
        <v>99.98999999999999</v>
      </c>
      <c r="H88" s="32" t="inlineStr">
        <is>
          <t>Helium 10 Xray (Amazon.ca, CAD), 2026-10-14</t>
        </is>
      </c>
      <c r="I88" s="60" t="n">
        <v>99.98999999999999</v>
      </c>
      <c r="J88" s="61" t="inlineStr">
        <is>
          <t>2026-03-30</t>
        </is>
      </c>
      <c r="K88" s="33" t="n">
        <v>49.55</v>
      </c>
      <c r="L88" s="62" t="n">
        <v>0.4955495549554955</v>
      </c>
      <c r="M88" s="63" t="n">
        <v>0</v>
      </c>
      <c r="N88" s="32" t="inlineStr">
        <is>
          <t>Active</t>
        </is>
      </c>
      <c r="O88" s="32" t="n"/>
      <c r="P88" s="64" t="n">
        <v>4.4</v>
      </c>
      <c r="Q88" s="63" t="n">
        <v>5844</v>
      </c>
      <c r="R88" s="63" t="n">
        <v>2843</v>
      </c>
      <c r="S88" s="63"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59" t="n">
        <v>109.91</v>
      </c>
      <c r="H89" s="32" t="inlineStr">
        <is>
          <t>Helium 10 Xray (Amazon.ca, CAD), 2026-10-14</t>
        </is>
      </c>
      <c r="I89" s="60" t="n">
        <v>79.98999999999999</v>
      </c>
      <c r="J89" s="61" t="inlineStr">
        <is>
          <t>2026-03-30</t>
        </is>
      </c>
      <c r="K89" s="33" t="n">
        <v>38.09</v>
      </c>
      <c r="L89" s="62" t="n">
        <v>0.4761845230653832</v>
      </c>
      <c r="M89" s="63" t="n"/>
      <c r="N89" s="32" t="inlineStr">
        <is>
          <t>Inactive</t>
        </is>
      </c>
      <c r="O89" s="32" t="n"/>
      <c r="P89" s="64" t="n">
        <v>4.4</v>
      </c>
      <c r="Q89" s="63" t="n">
        <v>5844</v>
      </c>
      <c r="R89" s="63" t="n">
        <v>2867</v>
      </c>
      <c r="S89" s="63"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59" t="n">
        <v>79.98999999999999</v>
      </c>
      <c r="H90" s="32" t="inlineStr">
        <is>
          <t>Helium 10 Xray (Amazon.ca, CAD), 2026-10-14</t>
        </is>
      </c>
      <c r="I90" s="60" t="n">
        <v>79.98999999999999</v>
      </c>
      <c r="J90" s="61" t="inlineStr">
        <is>
          <t>2026-03-30</t>
        </is>
      </c>
      <c r="K90" s="33" t="n">
        <v>38.59999999999999</v>
      </c>
      <c r="L90" s="62" t="n">
        <v>0.4825603200400049</v>
      </c>
      <c r="M90" s="63" t="n">
        <v>0</v>
      </c>
      <c r="N90" s="32" t="inlineStr">
        <is>
          <t>Active</t>
        </is>
      </c>
      <c r="O90" s="32" t="n"/>
      <c r="P90" s="64" t="n">
        <v>4.4</v>
      </c>
      <c r="Q90" s="63" t="n">
        <v>5844</v>
      </c>
      <c r="R90" s="63" t="n">
        <v>2867</v>
      </c>
      <c r="S90" s="63"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59" t="n">
        <v>138.4</v>
      </c>
      <c r="H91" s="32" t="inlineStr">
        <is>
          <t>Helium 10 Xray (Amazon.ca, CAD), 2026-10-14</t>
        </is>
      </c>
      <c r="I91" s="60" t="n">
        <v>79.98999999999999</v>
      </c>
      <c r="J91" s="61" t="inlineStr">
        <is>
          <t>2026-03-30</t>
        </is>
      </c>
      <c r="K91" s="33" t="n">
        <v>39.84999999999999</v>
      </c>
      <c r="L91" s="62" t="n">
        <v>0.4981872734091761</v>
      </c>
      <c r="M91" s="63" t="n"/>
      <c r="N91" s="32" t="inlineStr">
        <is>
          <t>Inactive</t>
        </is>
      </c>
      <c r="O91" s="32" t="n"/>
      <c r="P91" s="64" t="n">
        <v>4.4</v>
      </c>
      <c r="Q91" s="63" t="n">
        <v>5844</v>
      </c>
      <c r="R91" s="63" t="n">
        <v>2867</v>
      </c>
      <c r="S91" s="63"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59" t="n">
        <v>99.11</v>
      </c>
      <c r="H92" s="32" t="inlineStr">
        <is>
          <t>Helium 10 Xray (Amazon.ca, CAD), 2026-10-14</t>
        </is>
      </c>
      <c r="I92" s="60" t="n">
        <v>62.99</v>
      </c>
      <c r="J92" s="61" t="inlineStr">
        <is>
          <t>2026-03-30</t>
        </is>
      </c>
      <c r="K92" s="33" t="n">
        <v>25.33000000000001</v>
      </c>
      <c r="L92" s="62" t="n">
        <v>0.4021273217971108</v>
      </c>
      <c r="M92" s="63" t="n">
        <v>0</v>
      </c>
      <c r="N92" s="32" t="inlineStr">
        <is>
          <t>Active</t>
        </is>
      </c>
      <c r="O92" s="32" t="n"/>
      <c r="P92" s="64" t="n">
        <v>4.4</v>
      </c>
      <c r="Q92" s="63" t="n">
        <v>5844</v>
      </c>
      <c r="R92" s="63" t="n">
        <v>2867</v>
      </c>
      <c r="S92" s="63"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59" t="n">
        <v>99.11</v>
      </c>
      <c r="H93" s="32" t="inlineStr">
        <is>
          <t>Helium 10 Xray (Amazon.ca, CAD), 2026-10-14</t>
        </is>
      </c>
      <c r="I93" s="60" t="n">
        <v>79.98999999999999</v>
      </c>
      <c r="J93" s="61" t="inlineStr">
        <is>
          <t>2026-03-30</t>
        </is>
      </c>
      <c r="K93" s="33" t="n">
        <v>40.45</v>
      </c>
      <c r="L93" s="62" t="n">
        <v>0.5056882110263783</v>
      </c>
      <c r="M93" s="63" t="n">
        <v>0</v>
      </c>
      <c r="N93" s="32" t="inlineStr">
        <is>
          <t>Active</t>
        </is>
      </c>
      <c r="O93" s="32" t="n"/>
      <c r="P93" s="64" t="n">
        <v>4.4</v>
      </c>
      <c r="Q93" s="63" t="n">
        <v>5844</v>
      </c>
      <c r="R93" s="63" t="n">
        <v>2867</v>
      </c>
      <c r="S93" s="63"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59" t="n">
        <v>105.39</v>
      </c>
      <c r="H94" s="32" t="inlineStr">
        <is>
          <t>Helium 10 Xray (Amazon.ca, CAD), 2026-10-14</t>
        </is>
      </c>
      <c r="I94" s="60" t="n">
        <v>79.98999999999999</v>
      </c>
      <c r="J94" s="61" t="inlineStr">
        <is>
          <t>2026-03-30</t>
        </is>
      </c>
      <c r="K94" s="33" t="n">
        <v>38.18</v>
      </c>
      <c r="L94" s="62" t="n">
        <v>0.4773096637079635</v>
      </c>
      <c r="M94" s="63" t="n"/>
      <c r="N94" s="32" t="inlineStr">
        <is>
          <t>Inactive</t>
        </is>
      </c>
      <c r="O94" s="32" t="n"/>
      <c r="P94" s="64" t="n">
        <v>4.4</v>
      </c>
      <c r="Q94" s="63" t="n">
        <v>5844</v>
      </c>
      <c r="R94" s="63" t="n">
        <v>2867</v>
      </c>
      <c r="S94" s="63"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59" t="n">
        <v>106.48</v>
      </c>
      <c r="H95" s="32" t="inlineStr">
        <is>
          <t>Helium 10 Xray (Amazon.ca, CAD), 2026-10-14</t>
        </is>
      </c>
      <c r="I95" s="60" t="n">
        <v>79.98999999999999</v>
      </c>
      <c r="J95" s="61" t="inlineStr">
        <is>
          <t>2026-03-30</t>
        </is>
      </c>
      <c r="K95" s="33" t="n">
        <v>39.85999999999999</v>
      </c>
      <c r="L95" s="62" t="n">
        <v>0.4983122890361295</v>
      </c>
      <c r="M95" s="63" t="n"/>
      <c r="N95" s="32" t="inlineStr">
        <is>
          <t>Inactive</t>
        </is>
      </c>
      <c r="O95" s="32" t="n"/>
      <c r="P95" s="64" t="n">
        <v>4.4</v>
      </c>
      <c r="Q95" s="63" t="n">
        <v>5844</v>
      </c>
      <c r="R95" s="63" t="n">
        <v>2867</v>
      </c>
      <c r="S95" s="63"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59" t="n">
        <v>108.52</v>
      </c>
      <c r="H96" s="32" t="inlineStr">
        <is>
          <t>Helium 10 Xray (Amazon.ca, CAD), 2026-10-14</t>
        </is>
      </c>
      <c r="I96" s="60" t="n">
        <v>79.98999999999999</v>
      </c>
      <c r="J96" s="61" t="inlineStr">
        <is>
          <t>2026-03-30</t>
        </is>
      </c>
      <c r="K96" s="33" t="n">
        <v>39.67</v>
      </c>
      <c r="L96" s="62" t="n">
        <v>0.4959369921240155</v>
      </c>
      <c r="M96" s="63" t="n"/>
      <c r="N96" s="32" t="inlineStr">
        <is>
          <t>Inactive</t>
        </is>
      </c>
      <c r="O96" s="32" t="n"/>
      <c r="P96" s="64" t="n">
        <v>4.4</v>
      </c>
      <c r="Q96" s="63" t="n">
        <v>5844</v>
      </c>
      <c r="R96" s="63" t="n">
        <v>2867</v>
      </c>
      <c r="S96" s="63"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59" t="n">
        <v>99.11</v>
      </c>
      <c r="H97" s="32" t="inlineStr">
        <is>
          <t>Helium 10 Xray (Amazon.ca, CAD), 2026-10-14</t>
        </is>
      </c>
      <c r="I97" s="60" t="n">
        <v>66.48999999999999</v>
      </c>
      <c r="J97" s="61" t="inlineStr">
        <is>
          <t>2026-03-30</t>
        </is>
      </c>
      <c r="K97" s="33" t="n">
        <v>28.41</v>
      </c>
      <c r="L97" s="62" t="n">
        <v>0.4272822980899383</v>
      </c>
      <c r="M97" s="63" t="n">
        <v>0</v>
      </c>
      <c r="N97" s="32" t="inlineStr">
        <is>
          <t>Active</t>
        </is>
      </c>
      <c r="O97" s="32" t="n"/>
      <c r="P97" s="64" t="n">
        <v>4.4</v>
      </c>
      <c r="Q97" s="63" t="n">
        <v>5844</v>
      </c>
      <c r="R97" s="63" t="n">
        <v>2867</v>
      </c>
      <c r="S97" s="63" t="n">
        <v>13</v>
      </c>
      <c r="T97" s="32" t="n"/>
    </row>
    <row r="99" ht="20" customHeight="1">
      <c r="A99" s="53" t="inlineStr">
        <is>
          <t>3 · OUR BFCM 2025 RESULT &amp; EVENT VISIBILITY</t>
        </is>
      </c>
    </row>
    <row r="100">
      <c r="A100" s="66" t="inlineStr">
        <is>
          <t>Window</t>
        </is>
      </c>
      <c r="B100" s="67" t="n"/>
      <c r="C100" s="68" t="n"/>
      <c r="D100" s="66" t="inlineStr">
        <is>
          <t>Ad spend</t>
        </is>
      </c>
      <c r="E100" s="66" t="inlineStr">
        <is>
          <t>Ad sales</t>
        </is>
      </c>
      <c r="F100" s="66" t="inlineStr">
        <is>
          <t>ACoS</t>
        </is>
      </c>
      <c r="G100" s="66" t="inlineStr">
        <is>
          <t>TACoS</t>
        </is>
      </c>
      <c r="H100" s="66" t="inlineStr">
        <is>
          <t>Total sales (derived)</t>
        </is>
      </c>
      <c r="J100" s="66" t="inlineStr">
        <is>
          <t>Ad orders</t>
        </is>
      </c>
      <c r="K100" s="66" t="inlineStr">
        <is>
          <t>CVR</t>
        </is>
      </c>
    </row>
    <row r="101">
      <c r="A101" s="69" t="inlineStr">
        <is>
          <t>Pre-event Oct 21 - Nov 19, 2025 (30d)</t>
        </is>
      </c>
      <c r="B101" s="67" t="n"/>
      <c r="C101" s="68" t="n"/>
      <c r="D101" s="70" t="n">
        <v>6820.550000000001</v>
      </c>
      <c r="E101" s="70" t="n">
        <v>34009.91999999999</v>
      </c>
      <c r="F101" s="71" t="n">
        <v>20.1</v>
      </c>
      <c r="G101" s="71" t="n">
        <v>12.66279758423702</v>
      </c>
      <c r="H101" s="70" t="n">
        <v>53862.9</v>
      </c>
      <c r="J101" s="72" t="n">
        <v>391</v>
      </c>
      <c r="K101" s="73" t="n">
        <v>12.84</v>
      </c>
    </row>
    <row r="102">
      <c r="A102" s="69" t="inlineStr">
        <is>
          <t>BFCM week Nov 20 - Dec 1, 2025 (12d)</t>
        </is>
      </c>
      <c r="B102" s="67" t="n"/>
      <c r="C102" s="68" t="n"/>
      <c r="D102" s="70" t="n">
        <v>7633.49</v>
      </c>
      <c r="E102" s="70" t="n">
        <v>44669.14999999999</v>
      </c>
      <c r="F102" s="71" t="n">
        <v>17.1</v>
      </c>
      <c r="G102" s="71" t="n">
        <v>11.50265547667106</v>
      </c>
      <c r="H102" s="70" t="n">
        <v>66362.85000000001</v>
      </c>
      <c r="J102" s="72" t="n">
        <v>617</v>
      </c>
      <c r="K102" s="73" t="n">
        <v>15.19</v>
      </c>
    </row>
    <row r="103">
      <c r="A103" s="69" t="inlineStr">
        <is>
          <t>December 2 - 31, 2025 (30d)</t>
        </is>
      </c>
      <c r="B103" s="67" t="n"/>
      <c r="C103" s="68" t="n"/>
      <c r="D103" s="70" t="n">
        <v>15000.62</v>
      </c>
      <c r="E103" s="70" t="n">
        <v>81285.10999999999</v>
      </c>
      <c r="F103" s="71" t="n">
        <v>18.5</v>
      </c>
      <c r="G103" s="71" t="n">
        <v>13.93889311736128</v>
      </c>
      <c r="H103" s="70" t="n">
        <v>107617.01</v>
      </c>
      <c r="J103" s="72" t="n">
        <v>996</v>
      </c>
      <c r="K103" s="73" t="n">
        <v>15.12</v>
      </c>
    </row>
    <row r="105">
      <c r="A105" s="66" t="inlineStr">
        <is>
          <t>Actual sales (SellerBoard)</t>
        </is>
      </c>
      <c r="B105" s="67" t="n"/>
      <c r="C105" s="68" t="n"/>
      <c r="D105" s="66" t="inlineStr">
        <is>
          <t>Sales</t>
        </is>
      </c>
      <c r="E105" s="66" t="inlineStr">
        <is>
          <t>Units</t>
        </is>
      </c>
      <c r="F105" s="66" t="inlineStr">
        <is>
          <t>Organic units</t>
        </is>
      </c>
      <c r="G105" s="66" t="inlineStr">
        <is>
          <t>Ad units</t>
        </is>
      </c>
      <c r="H105" s="66" t="inlineStr">
        <is>
          <t>Ad cost</t>
        </is>
      </c>
      <c r="J105" s="66" t="inlineStr">
        <is>
          <t>TACoS (actual)</t>
        </is>
      </c>
      <c r="K105" s="66" t="inlineStr">
        <is>
          <t>Sessions</t>
        </is>
      </c>
      <c r="L105" s="66" t="inlineStr">
        <is>
          <t>Unit session %</t>
        </is>
      </c>
      <c r="M105" s="66" t="inlineStr">
        <is>
          <t>Avg price</t>
        </is>
      </c>
      <c r="N105" s="66" t="inlineStr">
        <is>
          <t>Refunds</t>
        </is>
      </c>
    </row>
    <row r="106">
      <c r="A106" s="69" t="inlineStr">
        <is>
          <t>Pre-event Oct 21 - Nov 19, 2025 (30d)</t>
        </is>
      </c>
      <c r="B106" s="67" t="n"/>
      <c r="C106" s="68" t="n"/>
      <c r="D106" s="70" t="n">
        <v>38404.46</v>
      </c>
      <c r="E106" s="72" t="n">
        <v>636</v>
      </c>
      <c r="F106" s="72" t="n">
        <v>604</v>
      </c>
      <c r="G106" s="72" t="n">
        <v>32</v>
      </c>
      <c r="H106" s="70" t="n">
        <v>5034.51</v>
      </c>
      <c r="J106" s="74" t="n">
        <v>0.131091805483009</v>
      </c>
      <c r="K106" s="72" t="n">
        <v>15737</v>
      </c>
      <c r="L106" s="74" t="n">
        <v>0.04041431022431213</v>
      </c>
      <c r="M106" s="75" t="n">
        <v>60.38437106918239</v>
      </c>
      <c r="N106" s="72" t="n">
        <v>40</v>
      </c>
    </row>
    <row r="107">
      <c r="A107" s="69" t="inlineStr">
        <is>
          <t>BFCM week Nov 20 - Dec 1, 2025 (12d)</t>
        </is>
      </c>
      <c r="B107" s="67" t="n"/>
      <c r="C107" s="68" t="n"/>
      <c r="D107" s="70" t="n">
        <v>47286.51</v>
      </c>
      <c r="E107" s="72" t="n">
        <v>908</v>
      </c>
      <c r="F107" s="72" t="n">
        <v>834</v>
      </c>
      <c r="G107" s="72" t="n">
        <v>74</v>
      </c>
      <c r="H107" s="70" t="n">
        <v>5782.83</v>
      </c>
      <c r="J107" s="74" t="n">
        <v>0.1222934405605319</v>
      </c>
      <c r="K107" s="72" t="n">
        <v>20224</v>
      </c>
      <c r="L107" s="74" t="n">
        <v>0.04489715189873418</v>
      </c>
      <c r="M107" s="75" t="n">
        <v>52.07765418502203</v>
      </c>
      <c r="N107" s="72" t="n">
        <v>26</v>
      </c>
    </row>
    <row r="108">
      <c r="A108" s="69" t="inlineStr">
        <is>
          <t>December 2 - 31, 2025 (30d)</t>
        </is>
      </c>
      <c r="B108" s="67" t="n"/>
      <c r="C108" s="68" t="n"/>
      <c r="D108" s="70" t="n">
        <v>84122.55</v>
      </c>
      <c r="E108" s="72" t="n">
        <v>1439</v>
      </c>
      <c r="F108" s="72" t="n">
        <v>1317</v>
      </c>
      <c r="G108" s="72" t="n">
        <v>122</v>
      </c>
      <c r="H108" s="70" t="n">
        <v>11213.35</v>
      </c>
      <c r="J108" s="74" t="n">
        <v>0.1332977899504948</v>
      </c>
      <c r="K108" s="72" t="n">
        <v>32665</v>
      </c>
      <c r="L108" s="74" t="n">
        <v>0.04405326802387877</v>
      </c>
      <c r="M108" s="75" t="n">
        <v>58.4590340514246</v>
      </c>
      <c r="N108" s="72" t="n">
        <v>85</v>
      </c>
    </row>
    <row r="109">
      <c r="A109" s="58"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6"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7" t="inlineStr">
        <is>
          <t>BFCM 2026 plan (BM, Oct 15, 2026): Best Deal 11/19-11/30. Deal price and depth not yet given; not yet visible in Amazon's deal feed.</t>
        </is>
      </c>
    </row>
    <row r="112" ht="30" customHeight="1">
      <c r="A112" s="78" t="inlineStr">
        <is>
          <t>Amazon deal price now (Slack): Amazon uses the current CA$99.99 as reference. BFCM max showing now: 12% off (CA$87.99 on most King/Queen/Cal King); the figure keeps changing. The Sep 30 LD drops out of the lookback by Oct 30. [Umair Tahir, #4pc-bamboo-sheets, 2026-10-15]</t>
        </is>
      </c>
    </row>
    <row r="113" ht="18" customHeight="1">
      <c r="A113" s="78" t="inlineStr">
        <is>
          <t>Pre-BFCM deal decision (Slack): Oct 16-24 Canada Best Deal: cancel approved (Erik Fisher, Joseph Fisher) to keep the BFCM price clean. [Umair Tahir, #4pc-bamboo-sheets, 2026-10-15]</t>
        </is>
      </c>
    </row>
    <row r="114" ht="18" customHeight="1">
      <c r="A114" s="79" t="inlineStr">
        <is>
          <t>ASSUMED 2026 deal prices, until BM's final: B08KQJGM74 today C$99.99; C$84.99 at 15% off (Nov 19-26) and C$79.99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5" ht="40" customHeight="1">
      <c r="A115" s="76"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6">
      <c r="A116" s="58" t="inlineStr">
        <is>
          <t>Figures above are Amazon.ca in CAD. Visibility history is held for US ASINs only.</t>
        </is>
      </c>
    </row>
    <row r="118" ht="20" customHeight="1">
      <c r="A118" s="53" t="inlineStr">
        <is>
          <t>4 · COMPETITOR LANDSCAPE (15 mapped)</t>
        </is>
      </c>
    </row>
    <row r="119">
      <c r="A119" s="58" t="inlineStr">
        <is>
          <t>Sorted by tier, then estimated weekly units. Green = Command Center price/sales; blue = Data Dive listing; purple = Command Center search strategy (ASINsight); yellow = fill from Keepa / page check.</t>
        </is>
      </c>
    </row>
    <row r="120" ht="30" customHeight="1">
      <c r="A120" s="76"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1">
      <c r="A121" s="80" t="inlineStr">
        <is>
          <t>COMPETITOR</t>
        </is>
      </c>
      <c r="I121" s="81" t="inlineStr">
        <is>
          <t>LISTING - Data Dive</t>
        </is>
      </c>
      <c r="J121" s="82" t="inlineStr">
        <is>
          <t>SEARCH STRATEGY - Command Center ASINsight</t>
        </is>
      </c>
      <c r="K121" s="83" t="inlineStr">
        <is>
          <t>PRICE &amp; SALES - Command Center snapshot (date per row)</t>
        </is>
      </c>
      <c r="X121" s="81" t="inlineStr">
        <is>
          <t>LISTING - Data Dive</t>
        </is>
      </c>
      <c r="AA121" s="82" t="inlineStr">
        <is>
          <t>SEARCH STRATEGY - Command Center ASINsight</t>
        </is>
      </c>
      <c r="AR121" s="84" t="inlineStr">
        <is>
          <t>STR NOW - Amazon page check (Oct 13, P1 + P2)</t>
        </is>
      </c>
      <c r="AY121" s="85" t="inlineStr">
        <is>
          <t>BFCM 2025 - Keepa (P1 filled; yellow = not pulled yet)</t>
        </is>
      </c>
    </row>
    <row r="122" ht="48" customHeight="1">
      <c r="A122" s="22" t="inlineStr">
        <is>
          <t>Image</t>
        </is>
      </c>
      <c r="B122" s="22" t="inlineStr">
        <is>
          <t>Brand</t>
        </is>
      </c>
      <c r="C122" s="22" t="inlineStr">
        <is>
          <t>Product title</t>
        </is>
      </c>
      <c r="D122" s="22" t="inlineStr">
        <is>
          <t>Tier</t>
        </is>
      </c>
      <c r="E122" s="22" t="inlineStr">
        <is>
          <t>Parent ASIN</t>
        </is>
      </c>
      <c r="F122" s="22" t="inlineStr">
        <is>
          <t>Tracked child ASIN</t>
        </is>
      </c>
      <c r="G122" s="22" t="inlineStr">
        <is>
          <t>Size</t>
        </is>
      </c>
      <c r="H122" s="22" t="inlineStr">
        <is>
          <t>Colour</t>
        </is>
      </c>
      <c r="I122" s="22" t="inlineStr">
        <is>
          <t>Variations</t>
        </is>
      </c>
      <c r="J122" s="22" t="inlineStr">
        <is>
          <t>Hero child ASINs (share of their visibility)</t>
        </is>
      </c>
      <c r="K122" s="22" t="inlineStr">
        <is>
          <t>Price ($)</t>
        </is>
      </c>
      <c r="L122" s="22" t="inlineStr">
        <is>
          <t>List Price ($)</t>
        </is>
      </c>
      <c r="M122" s="22" t="inlineStr">
        <is>
          <t>List Price % over</t>
        </is>
      </c>
      <c r="N122" s="22" t="inlineStr">
        <is>
          <t>STR band</t>
        </is>
      </c>
      <c r="O122" s="22" t="inlineStr">
        <is>
          <t>Our price, same size ($)</t>
        </is>
      </c>
      <c r="P122" s="22" t="inlineStr">
        <is>
          <t>Their price vs ours</t>
        </is>
      </c>
      <c r="Q122" s="22" t="inlineStr">
        <is>
          <t>Comparison basis</t>
        </is>
      </c>
      <c r="R122" s="22" t="inlineStr">
        <is>
          <t>BSR</t>
        </is>
      </c>
      <c r="S122" s="22" t="inlineStr">
        <is>
          <t>Est weekly units</t>
        </is>
      </c>
      <c r="T122" s="22" t="inlineStr">
        <is>
          <t>Est monthly revenue ($)</t>
        </is>
      </c>
      <c r="U122" s="22" t="inlineStr">
        <is>
          <t>Rating</t>
        </is>
      </c>
      <c r="V122" s="22" t="inlineStr">
        <is>
          <t>Reviews</t>
        </is>
      </c>
      <c r="W122" s="22" t="inlineStr">
        <is>
          <t>Snapshot date</t>
        </is>
      </c>
      <c r="X122" s="22" t="inlineStr">
        <is>
          <t>Listed</t>
        </is>
      </c>
      <c r="Y122" s="22" t="inlineStr">
        <is>
          <t>Fulfil.</t>
        </is>
      </c>
      <c r="Z122" s="22" t="inlineStr">
        <is>
          <t>Seller country</t>
        </is>
      </c>
      <c r="AA122" s="22" t="inlineStr">
        <is>
          <t>ASINsight 7d traffic</t>
        </is>
      </c>
      <c r="AB122" s="22" t="inlineStr">
        <is>
          <t>Keywords ranked</t>
        </is>
      </c>
      <c r="AC122" s="22" t="inlineStr">
        <is>
          <t>Organic share of traffic</t>
        </is>
      </c>
      <c r="AD122" s="22" t="inlineStr">
        <is>
          <t>Ad share of traffic</t>
        </is>
      </c>
      <c r="AE122" s="22" t="inlineStr">
        <is>
          <t>Top keyword</t>
        </is>
      </c>
      <c r="AF122" s="22" t="inlineStr">
        <is>
          <t>SP reach</t>
        </is>
      </c>
      <c r="AG122" s="22" t="inlineStr">
        <is>
          <t>SB reach</t>
        </is>
      </c>
      <c r="AH122" s="22" t="inlineStr">
        <is>
          <t>SB video reach</t>
        </is>
      </c>
      <c r="AI122" s="22" t="inlineStr">
        <is>
          <t>Amazon's Choice reach</t>
        </is>
      </c>
      <c r="AJ122" s="22" t="inlineStr">
        <is>
          <t>Shared keywords</t>
        </is>
      </c>
      <c r="AK122" s="22" t="inlineStr">
        <is>
          <t>We win</t>
        </is>
      </c>
      <c r="AL122" s="22" t="inlineStr">
        <is>
          <t>We lose</t>
        </is>
      </c>
      <c r="AM122" s="22" t="inlineStr">
        <is>
          <t>Their keywords we miss</t>
        </is>
      </c>
      <c r="AN122" s="22" t="inlineStr">
        <is>
          <t>KWs they advertise, we don't</t>
        </is>
      </c>
      <c r="AO122" s="22" t="inlineStr">
        <is>
          <t>KWs they out-advertise us</t>
        </is>
      </c>
      <c r="AP122" s="22" t="inlineStr">
        <is>
          <t>Prime Day 2026 organic vis lift</t>
        </is>
      </c>
      <c r="AQ122" s="22" t="inlineStr">
        <is>
          <t>Organic trend (Aug-Sep vs Q2)</t>
        </is>
      </c>
      <c r="AR122" s="22" t="inlineStr">
        <is>
          <t>STR showing now? (Y/N)</t>
        </is>
      </c>
      <c r="AS122" s="22" t="inlineStr">
        <is>
          <t>STR label</t>
        </is>
      </c>
      <c r="AT122" s="22" t="inlineStr">
        <is>
          <t>Strikethrough price ($)</t>
        </is>
      </c>
      <c r="AU122" s="22" t="inlineStr">
        <is>
          <t>Page price at check ($)</t>
        </is>
      </c>
      <c r="AV122" s="22" t="inlineStr">
        <is>
          <t>Deal / coupon now</t>
        </is>
      </c>
      <c r="AW122" s="22" t="inlineStr">
        <is>
          <t>Orderable now (Y/N)</t>
        </is>
      </c>
      <c r="AX122" s="22" t="inlineStr">
        <is>
          <t>Checked (ET)</t>
        </is>
      </c>
      <c r="AY122" s="22" t="inlineStr">
        <is>
          <t>BFCM 2025 deal type</t>
        </is>
      </c>
      <c r="AZ122" s="22" t="inlineStr">
        <is>
          <t>BFCM 2025 deal dates</t>
        </is>
      </c>
      <c r="BA122" s="22" t="inlineStr">
        <is>
          <t>Pre-event price ($)</t>
        </is>
      </c>
      <c r="BB122" s="22" t="inlineStr">
        <is>
          <t>BFCM 2025 low ($)</t>
        </is>
      </c>
      <c r="BC122" s="22" t="inlineStr">
        <is>
          <t>BFCM 2025 discount</t>
        </is>
      </c>
      <c r="BD122" s="22" t="inlineStr">
        <is>
          <t>BSR pre-event</t>
        </is>
      </c>
      <c r="BE122" s="22" t="inlineStr">
        <is>
          <t>BSR BFCM wk</t>
        </is>
      </c>
      <c r="BF122" s="22" t="inlineStr">
        <is>
          <t>BSR lift (x)</t>
        </is>
      </c>
      <c r="BG122" s="22" t="inlineStr">
        <is>
          <t>OOS in BFCM? (Y/N)</t>
        </is>
      </c>
      <c r="BH122" s="22" t="inlineStr">
        <is>
          <t>Notes</t>
        </is>
      </c>
    </row>
    <row r="123" ht="62" customHeight="1">
      <c r="A123" s="10">
        <f>_xlfn.IMAGE("https://m.media-amazon.com/images/I/81BJgcF3cZL.jpg")</f>
        <v/>
      </c>
      <c r="B123" s="86" t="inlineStr">
        <is>
          <t>Bedsure</t>
        </is>
      </c>
      <c r="C123" s="32" t="inlineStr">
        <is>
          <t>Bedsure Sheet Queen Size - 4 Piece 100% Bamboo Rayon Sheet Set Dark Grey</t>
        </is>
      </c>
      <c r="D123" s="86" t="inlineStr">
        <is>
          <t>Untiered</t>
        </is>
      </c>
      <c r="E123" s="87" t="inlineStr">
        <is>
          <t>B086R38NZ6</t>
        </is>
      </c>
      <c r="F123" s="87" t="inlineStr">
        <is>
          <t>B07YKCZHGK</t>
        </is>
      </c>
      <c r="G123" s="86" t="inlineStr">
        <is>
          <t>Queen</t>
        </is>
      </c>
      <c r="H123" s="86" t="inlineStr">
        <is>
          <t>01 - Dark Grey</t>
        </is>
      </c>
      <c r="I123" s="88" t="n">
        <v>61</v>
      </c>
      <c r="J123" s="32" t="n"/>
      <c r="K123" s="89" t="n">
        <v>94.98999999999999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14 children</t>
        </is>
      </c>
      <c r="R123" s="88" t="n">
        <v>996</v>
      </c>
      <c r="S123" s="88" t="n"/>
      <c r="T123" s="93">
        <f>IF(AND(ISNUMBER(K123),ISNUMBER(S123)),K123*S123*52/12,"")</f>
        <v/>
      </c>
      <c r="U123" s="94" t="n">
        <v>4.3</v>
      </c>
      <c r="V123" s="88" t="n">
        <v>60808</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109.99</v>
      </c>
      <c r="AU123" s="99" t="n">
        <v>94.98999999999999</v>
      </c>
      <c r="AV123" s="98" t="inlineStr">
        <is>
          <t>none</t>
        </is>
      </c>
      <c r="AW123" s="98" t="inlineStr">
        <is>
          <t>Y</t>
        </is>
      </c>
      <c r="AX123" s="98" t="inlineStr">
        <is>
          <t>2026-10-14 00:29:51</t>
        </is>
      </c>
      <c r="AY123" s="100" t="inlineStr">
        <is>
          <t>Prime Exclusive Discount</t>
        </is>
      </c>
      <c r="AZ123" s="100" t="inlineStr">
        <is>
          <t>11-01 to 12-01</t>
        </is>
      </c>
      <c r="BA123" s="101" t="n">
        <v>72.19</v>
      </c>
      <c r="BB123" s="101" t="n">
        <v>55.27</v>
      </c>
      <c r="BC123" s="90">
        <f>IF(AND(ISNUMBER(BA123),ISNUMBER(BB123),N(BA123)&gt;0),1-BB123/BA123,"")</f>
        <v/>
      </c>
      <c r="BD123" s="102" t="n">
        <v>2074</v>
      </c>
      <c r="BE123" s="102" t="n">
        <v>1132</v>
      </c>
      <c r="BF123" s="103">
        <f>IF(AND(ISNUMBER(BD123),ISNUMBER(BE123),N(BE123)&gt;0),BD123/BE123,"")</f>
        <v/>
      </c>
      <c r="BG123" s="100" t="inlineStr">
        <is>
          <t>N</t>
        </is>
      </c>
      <c r="BH123"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4" ht="62" customHeight="1">
      <c r="A124" s="10">
        <f>_xlfn.IMAGE("https://m.media-amazon.com/images/I/71AsFyQ2clL.jpg")</f>
        <v/>
      </c>
      <c r="B124" s="86" t="inlineStr">
        <is>
          <t>BAMPURE</t>
        </is>
      </c>
      <c r="C124" s="32" t="inlineStr">
        <is>
          <t>BAMPURE 100% Organic Bamboo Sheets Queen 4PC - Cooling Sheets Set</t>
        </is>
      </c>
      <c r="D124" s="86" t="inlineStr">
        <is>
          <t>Untiered</t>
        </is>
      </c>
      <c r="E124" s="87" t="inlineStr">
        <is>
          <t>B0HHZYV9G4</t>
        </is>
      </c>
      <c r="F124" s="87" t="inlineStr">
        <is>
          <t>B07X8FPWJH</t>
        </is>
      </c>
      <c r="G124" s="86" t="inlineStr">
        <is>
          <t>Queen</t>
        </is>
      </c>
      <c r="H124" s="86" t="inlineStr">
        <is>
          <t>Stone Gray</t>
        </is>
      </c>
      <c r="I124" s="88" t="n">
        <v>25</v>
      </c>
      <c r="J124" s="32" t="n"/>
      <c r="K124" s="89" t="n">
        <v>83.69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14 children</t>
        </is>
      </c>
      <c r="R124" s="88" t="n">
        <v>724</v>
      </c>
      <c r="S124" s="88" t="n"/>
      <c r="T124" s="93">
        <f>IF(AND(ISNUMBER(K124),ISNUMBER(S124)),K124*S124*52/12,"")</f>
        <v/>
      </c>
      <c r="U124" s="94" t="n">
        <v>4.3</v>
      </c>
      <c r="V124" s="88" t="n">
        <v>7346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Y</t>
        </is>
      </c>
      <c r="AS124" s="98" t="inlineStr">
        <is>
          <t>Was price</t>
        </is>
      </c>
      <c r="AT124" s="99" t="n">
        <v>92.98999999999999</v>
      </c>
      <c r="AU124" s="99" t="n">
        <v>83.69</v>
      </c>
      <c r="AV124" s="98" t="inlineStr">
        <is>
          <t>Limited-time deal</t>
        </is>
      </c>
      <c r="AW124" s="98" t="inlineStr">
        <is>
          <t>Y</t>
        </is>
      </c>
      <c r="AX124" s="98" t="inlineStr">
        <is>
          <t>2026-10-14 00:29:42</t>
        </is>
      </c>
      <c r="AY124" s="100" t="inlineStr">
        <is>
          <t>Price cut only</t>
        </is>
      </c>
      <c r="AZ124" s="100" t="inlineStr">
        <is>
          <t>11-20 to 12-01</t>
        </is>
      </c>
      <c r="BA124" s="101" t="n">
        <v>92.98999999999999</v>
      </c>
      <c r="BB124" s="101" t="n">
        <v>78.98999999999999</v>
      </c>
      <c r="BC124" s="90">
        <f>IF(AND(ISNUMBER(BA124),ISNUMBER(BB124),N(BA124)&gt;0),1-BB124/BA124,"")</f>
        <v/>
      </c>
      <c r="BD124" s="102" t="n">
        <v>1939</v>
      </c>
      <c r="BE124" s="102" t="n">
        <v>1376</v>
      </c>
      <c r="BF124" s="103">
        <f>IF(AND(ISNUMBER(BD124),ISNUMBER(BE124),N(BE124)&gt;0),BD124/BE124,"")</f>
        <v/>
      </c>
      <c r="BG124" s="100" t="inlineStr">
        <is>
          <t>N</t>
        </is>
      </c>
      <c r="BH124" s="100" t="inlineStr">
        <is>
          <t>Amazon.ca organic #1 for 'bamboo sheets king'; 100% Viscose Derived from Bamboo; Search child B07XF1K1R3; selected Queen child B07X8FPWJH. variation_count = distinct children exposed in page variation map, not a guaranteed complete catalogue</t>
        </is>
      </c>
    </row>
    <row r="125" ht="62" customHeight="1">
      <c r="A125" s="10">
        <f>_xlfn.IMAGE("https://m.media-amazon.com/images/I/612X5uLV3GL.jpg")</f>
        <v/>
      </c>
      <c r="B125" s="86" t="inlineStr">
        <is>
          <t>Sasttie</t>
        </is>
      </c>
      <c r="C125" s="32" t="inlineStr">
        <is>
          <t>Sasttie White Silky-Soft Bamboo Sheets Queen Size 4-Piece, 100% Rayon Made from Bamboo 300TC, Cooling Sheet for Hot Sleepers, 16" Deep Pocket, Secure Corner Straps, Head Tag, Washable &amp; Breathable</t>
        </is>
      </c>
      <c r="D125" s="86" t="inlineStr">
        <is>
          <t>Untiered</t>
        </is>
      </c>
      <c r="E125" s="87" t="inlineStr">
        <is>
          <t>B0H9R791B2</t>
        </is>
      </c>
      <c r="F125" s="87" t="inlineStr">
        <is>
          <t>B0H9QD7RD5</t>
        </is>
      </c>
      <c r="G125" s="86" t="inlineStr">
        <is>
          <t>Queen</t>
        </is>
      </c>
      <c r="H125" s="86" t="inlineStr">
        <is>
          <t>White</t>
        </is>
      </c>
      <c r="I125" s="88" t="n">
        <v>38</v>
      </c>
      <c r="J125" s="32" t="n"/>
      <c r="K125" s="89" t="n">
        <v>49.99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14 children</t>
        </is>
      </c>
      <c r="R125" s="88" t="n">
        <v>7761</v>
      </c>
      <c r="S125" s="88" t="n"/>
      <c r="T125" s="93">
        <f>IF(AND(ISNUMBER(K125),ISNUMBER(S125)),K125*S125*52/12,"")</f>
        <v/>
      </c>
      <c r="U125" s="94" t="n">
        <v>4.5</v>
      </c>
      <c r="V125" s="88" t="n">
        <v>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Y</t>
        </is>
      </c>
      <c r="AS125" s="98" t="inlineStr">
        <is>
          <t>List Price</t>
        </is>
      </c>
      <c r="AT125" s="99" t="n">
        <v>64.98999999999999</v>
      </c>
      <c r="AU125" s="99" t="n">
        <v>49.99</v>
      </c>
      <c r="AV125" s="98" t="inlineStr">
        <is>
          <t>none</t>
        </is>
      </c>
      <c r="AW125" s="98" t="inlineStr">
        <is>
          <t>Y</t>
        </is>
      </c>
      <c r="AX125" s="98" t="inlineStr">
        <is>
          <t>2026-10-14 00:30:38</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0" t="inlineStr">
        <is>
          <t>Amazon.ca organic #2 for 'cooling bamboo sheets'; Rayon Derived from Bamboo; variation_count = distinct children exposed in page variation map, not a guaranteed complete catalogue. Bought-past-month badge not displayed.</t>
        </is>
      </c>
    </row>
    <row r="126" ht="62" customHeight="1">
      <c r="A126" s="10">
        <f>_xlfn.IMAGE("https://m.media-amazon.com/images/I/61iXhiLg79L.jpg")</f>
        <v/>
      </c>
      <c r="B126" s="86" t="inlineStr">
        <is>
          <t>Andency</t>
        </is>
      </c>
      <c r="C126" s="32" t="inlineStr">
        <is>
          <t>Andency Bamboo Cooling Olive Sheets Set, 4pcs Queen Sheets for Hot Sleepers</t>
        </is>
      </c>
      <c r="D126" s="86" t="inlineStr">
        <is>
          <t>Untiered</t>
        </is>
      </c>
      <c r="E126" s="87" t="inlineStr">
        <is>
          <t>B0CMV6MR96</t>
        </is>
      </c>
      <c r="F126" s="87" t="inlineStr">
        <is>
          <t>B0CWK92XQD</t>
        </is>
      </c>
      <c r="G126" s="86" t="inlineStr">
        <is>
          <t>Queen</t>
        </is>
      </c>
      <c r="H126" s="86" t="inlineStr">
        <is>
          <t>Olive Green</t>
        </is>
      </c>
      <c r="I126" s="88" t="n">
        <v>48</v>
      </c>
      <c r="J126" s="32" t="n"/>
      <c r="K126" s="89" t="n">
        <v>69.98999999999999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14 children</t>
        </is>
      </c>
      <c r="R126" s="88" t="n">
        <v>10681</v>
      </c>
      <c r="S126" s="88" t="n"/>
      <c r="T126" s="93">
        <f>IF(AND(ISNUMBER(K126),ISNUMBER(S126)),K126*S126*52/12,"")</f>
        <v/>
      </c>
      <c r="U126" s="94" t="n">
        <v>4.4</v>
      </c>
      <c r="V126" s="88" t="n">
        <v>736</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69.98999999999999</v>
      </c>
      <c r="AV126" s="98" t="inlineStr">
        <is>
          <t>none</t>
        </is>
      </c>
      <c r="AW126" s="98" t="inlineStr">
        <is>
          <t>Y</t>
        </is>
      </c>
      <c r="AX126" s="98" t="inlineStr">
        <is>
          <t>2026-10-14 00:32:13</t>
        </is>
      </c>
      <c r="AY126" s="105" t="n"/>
      <c r="AZ126" s="105" t="n"/>
      <c r="BA126" s="104" t="n"/>
      <c r="BB126" s="104" t="n"/>
      <c r="BC126" s="90">
        <f>IF(AND(ISNUMBER(BA126),ISNUMBER(BB126),N(BA126)&gt;0),1-BB126/BA126,"")</f>
        <v/>
      </c>
      <c r="BD126" s="106" t="n"/>
      <c r="BE126" s="106" t="n"/>
      <c r="BF126" s="103">
        <f>IF(AND(ISNUMBER(BD126),ISNUMBER(BE126),N(BE126)&gt;0),BD126/BE126,"")</f>
        <v/>
      </c>
      <c r="BG126" s="100" t="inlineStr">
        <is>
          <t>Y</t>
        </is>
      </c>
      <c r="BH126"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7" ht="62" customHeight="1">
      <c r="A127" s="10">
        <f>_xlfn.IMAGE("https://m.media-amazon.com/images/I/81Oi9KYdBWL.jpg")</f>
        <v/>
      </c>
      <c r="B127" s="86" t="inlineStr">
        <is>
          <t>ACCURATEX</t>
        </is>
      </c>
      <c r="C127" s="32" t="inlineStr">
        <is>
          <t>ACCURATEX Bamboo Cooling Sheets for Hot Sleepers, Queen Size, Grey</t>
        </is>
      </c>
      <c r="D127" s="86" t="inlineStr">
        <is>
          <t>Untiered</t>
        </is>
      </c>
      <c r="E127" s="87" t="inlineStr">
        <is>
          <t>B0DK51QCDN</t>
        </is>
      </c>
      <c r="F127" s="87" t="inlineStr">
        <is>
          <t>B0BKLHTWGS</t>
        </is>
      </c>
      <c r="G127" s="86" t="inlineStr">
        <is>
          <t>Queen</t>
        </is>
      </c>
      <c r="H127" s="86" t="inlineStr">
        <is>
          <t>Grey</t>
        </is>
      </c>
      <c r="I127" s="88" t="n">
        <v>51</v>
      </c>
      <c r="J127" s="32" t="n"/>
      <c r="K127" s="89" t="n">
        <v>94.98999999999999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14 children</t>
        </is>
      </c>
      <c r="R127" s="88" t="n">
        <v>14889</v>
      </c>
      <c r="S127" s="88" t="n"/>
      <c r="T127" s="93">
        <f>IF(AND(ISNUMBER(K127),ISNUMBER(S127)),K127*S127*52/12,"")</f>
        <v/>
      </c>
      <c r="U127" s="94" t="n">
        <v>4.3</v>
      </c>
      <c r="V127" s="88" t="n">
        <v>1019</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94.98999999999999</v>
      </c>
      <c r="AV127" s="98" t="inlineStr">
        <is>
          <t>none</t>
        </is>
      </c>
      <c r="AW127" s="98" t="inlineStr">
        <is>
          <t>Y</t>
        </is>
      </c>
      <c r="AX127" s="98" t="inlineStr">
        <is>
          <t>2026-10-14 00:33:55</t>
        </is>
      </c>
      <c r="AY127" s="100" t="inlineStr">
        <is>
          <t>Prime Exclusive Discount</t>
        </is>
      </c>
      <c r="AZ127" s="100" t="inlineStr">
        <is>
          <t>11-20 to 12-01</t>
        </is>
      </c>
      <c r="BA127" s="101" t="n">
        <v>94.98999999999999</v>
      </c>
      <c r="BB127" s="101" t="n">
        <v>75.98999999999999</v>
      </c>
      <c r="BC127" s="90">
        <f>IF(AND(ISNUMBER(BA127),ISNUMBER(BB127),N(BA127)&gt;0),1-BB127/BA127,"")</f>
        <v/>
      </c>
      <c r="BD127" s="102" t="n">
        <v>38877</v>
      </c>
      <c r="BE127" s="102" t="n">
        <v>30442</v>
      </c>
      <c r="BF127" s="103">
        <f>IF(AND(ISNUMBER(BD127),ISNUMBER(BE127),N(BE127)&gt;0),BD127/BE127,"")</f>
        <v/>
      </c>
      <c r="BG127" s="100" t="inlineStr">
        <is>
          <t>N</t>
        </is>
      </c>
      <c r="BH127" s="100" t="inlineStr">
        <is>
          <t>Amazon.ca organic #7 for 'cooling bamboo sheets'; 100% bamboo; Search child B09PYB9C45; selected Queen child B0BKLHTWGS. Orderable; availability wording:  variation_count = distinct children exposed in page variation map, n</t>
        </is>
      </c>
    </row>
    <row r="128" ht="62" customHeight="1">
      <c r="A128" s="10">
        <f>_xlfn.IMAGE("https://m.media-amazon.com/images/I/61-LBYlR5KL.jpg")</f>
        <v/>
      </c>
      <c r="B128" s="86" t="inlineStr">
        <is>
          <t>KRIMANO</t>
        </is>
      </c>
      <c r="C128" s="32" t="inlineStr">
        <is>
          <t>Bamboo Viscose Sheet Set Queen Size, Cooling Sheets Bed Set 4pcs</t>
        </is>
      </c>
      <c r="D128" s="86" t="inlineStr">
        <is>
          <t>Untiered</t>
        </is>
      </c>
      <c r="E128" s="87" t="inlineStr">
        <is>
          <t>B0FXVJLRTW</t>
        </is>
      </c>
      <c r="F128" s="87" t="inlineStr">
        <is>
          <t>B0FT7LV7PP</t>
        </is>
      </c>
      <c r="G128" s="86" t="inlineStr">
        <is>
          <t>Queen</t>
        </is>
      </c>
      <c r="H128" s="86" t="inlineStr">
        <is>
          <t>1.navy Blue</t>
        </is>
      </c>
      <c r="I128" s="88" t="n">
        <v>47</v>
      </c>
      <c r="J128" s="32" t="n"/>
      <c r="K128" s="89" t="n">
        <v>97.98999999999999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14 children</t>
        </is>
      </c>
      <c r="R128" s="88" t="n">
        <v>32819</v>
      </c>
      <c r="S128" s="88" t="n"/>
      <c r="T128" s="93">
        <f>IF(AND(ISNUMBER(K128),ISNUMBER(S128)),K128*S128*52/12,"")</f>
        <v/>
      </c>
      <c r="U128" s="94" t="n">
        <v>4.4</v>
      </c>
      <c r="V128" s="88" t="n">
        <v>765</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99" t="n">
        <v>97.98999999999999</v>
      </c>
      <c r="AV128" s="98" t="inlineStr">
        <is>
          <t>none</t>
        </is>
      </c>
      <c r="AW128" s="98" t="inlineStr">
        <is>
          <t>Y</t>
        </is>
      </c>
      <c r="AX128" s="98" t="inlineStr">
        <is>
          <t>2026-10-14 00:34:38</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#10 for 'bamboo sheets king'; Viscose Derived from Bamboo; Search child B0FT7LZ2CD; selected Queen child B0FT7LV7PP. variation_count = distinct children exposed in page variation map, not a guaranteed complete catalogue</t>
        </is>
      </c>
    </row>
    <row r="129" ht="62" customHeight="1">
      <c r="A129" s="10">
        <f>_xlfn.IMAGE("https://m.media-amazon.com/images/I/71UaTjhX+fL.jpg")</f>
        <v/>
      </c>
      <c r="B129" s="86" t="inlineStr">
        <is>
          <t>MCO</t>
        </is>
      </c>
      <c r="C129" s="32" t="inlineStr">
        <is>
          <t>100% Bamboo King Size Sheets Set, Cooling&amp;Breathable-Light Blue</t>
        </is>
      </c>
      <c r="D129" s="86" t="inlineStr">
        <is>
          <t>Untiered</t>
        </is>
      </c>
      <c r="E129" s="87" t="inlineStr">
        <is>
          <t>B0CDCNVNPR</t>
        </is>
      </c>
      <c r="F129" s="87" t="inlineStr">
        <is>
          <t>B0C8CXS58F</t>
        </is>
      </c>
      <c r="G129" s="86" t="inlineStr">
        <is>
          <t>King</t>
        </is>
      </c>
      <c r="H129" s="86" t="inlineStr">
        <is>
          <t>Light Blue</t>
        </is>
      </c>
      <c r="I129" s="88" t="n">
        <v>3</v>
      </c>
      <c r="J129" s="32" t="n"/>
      <c r="K129" s="89" t="n">
        <v>38.99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(King), CAD. Ours live: Helium 10 Xray (Amazon.ca, CAD), 2026-10-14; 16 children</t>
        </is>
      </c>
      <c r="R129" s="88" t="n">
        <v>67260</v>
      </c>
      <c r="S129" s="88" t="n"/>
      <c r="T129" s="93">
        <f>IF(AND(ISNUMBER(K129),ISNUMBER(S129)),K129*S129*52/12,"")</f>
        <v/>
      </c>
      <c r="U129" s="94" t="n">
        <v>3.9</v>
      </c>
      <c r="V129" s="88" t="n">
        <v>255</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38.99</v>
      </c>
      <c r="AV129" s="98" t="inlineStr">
        <is>
          <t>none</t>
        </is>
      </c>
      <c r="AW129" s="98" t="inlineStr">
        <is>
          <t>Y</t>
        </is>
      </c>
      <c r="AX129" s="98" t="inlineStr">
        <is>
          <t>2026-10-14 00:33:09</t>
        </is>
      </c>
      <c r="AY129" s="100" t="inlineStr">
        <is>
          <t>None</t>
        </is>
      </c>
      <c r="AZ129" s="105" t="n"/>
      <c r="BA129" s="101" t="n">
        <v>39.99</v>
      </c>
      <c r="BB129" s="101" t="n">
        <v>39.99</v>
      </c>
      <c r="BC129" s="90">
        <f>IF(AND(ISNUMBER(BA129),ISNUMBER(BB129),N(BA129)&gt;0),1-BB129/BA129,"")</f>
        <v/>
      </c>
      <c r="BD129" s="102" t="n">
        <v>13182</v>
      </c>
      <c r="BE129" s="102" t="n">
        <v>24331</v>
      </c>
      <c r="BF129" s="103">
        <f>IF(AND(ISNUMBER(BD129),ISNUMBER(BE129),N(BE129)&gt;0),BD129/BE129,"")</f>
        <v/>
      </c>
      <c r="BG129" s="100" t="inlineStr">
        <is>
          <t>N</t>
        </is>
      </c>
      <c r="BH129" s="100" t="inlineStr">
        <is>
          <t>Amazon.ca organic #11 for 'bamboo sheets king'; 100% Bamboo; No Queen option exposed; King used. variation_count = distinct children exposed in page variation map, not a guaranteed complete catalogue. Bought-past-month ba</t>
        </is>
      </c>
    </row>
    <row r="130" ht="62" customHeight="1">
      <c r="A130" s="10">
        <f>_xlfn.IMAGE("https://m.media-amazon.com/images/I/7132udf75EL.jpg")</f>
        <v/>
      </c>
      <c r="B130" s="86" t="inlineStr">
        <is>
          <t>KRIMANO</t>
        </is>
      </c>
      <c r="C130" s="32" t="inlineStr">
        <is>
          <t>Queen Size Sheet Set, Viscose Bamboo Sheets 4-Piece, 100% Viscose Derived from Bamboo, Hotel Luxury Silky &amp; Cooling for Hot Sleepers, Deep Pocket Up to 17", Taupe</t>
        </is>
      </c>
      <c r="D130" s="86" t="inlineStr">
        <is>
          <t>Untiered</t>
        </is>
      </c>
      <c r="E130" s="87" t="inlineStr">
        <is>
          <t>B0H4LQ1XJH</t>
        </is>
      </c>
      <c r="F130" s="87" t="inlineStr">
        <is>
          <t>B0H4LHZTBY</t>
        </is>
      </c>
      <c r="G130" s="86" t="inlineStr">
        <is>
          <t>Queen</t>
        </is>
      </c>
      <c r="H130" s="86" t="inlineStr">
        <is>
          <t>3. Premium Taupe</t>
        </is>
      </c>
      <c r="I130" s="88" t="n">
        <v>12</v>
      </c>
      <c r="J130" s="32" t="n"/>
      <c r="K130" s="89" t="n">
        <v>85.48999999999999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14 children</t>
        </is>
      </c>
      <c r="R130" s="88" t="n">
        <v>39816</v>
      </c>
      <c r="S130" s="88" t="n"/>
      <c r="T130" s="93">
        <f>IF(AND(ISNUMBER(K130),ISNUMBER(S130)),K130*S130*52/12,"")</f>
        <v/>
      </c>
      <c r="U130" s="94" t="n">
        <v>4.5</v>
      </c>
      <c r="V130" s="88" t="n">
        <v>23</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Was price</t>
        </is>
      </c>
      <c r="AT130" s="99" t="n">
        <v>89.98999999999999</v>
      </c>
      <c r="AU130" s="99" t="n">
        <v>85.48999999999999</v>
      </c>
      <c r="AV130" s="98" t="inlineStr">
        <is>
          <t>none</t>
        </is>
      </c>
      <c r="AW130" s="98" t="inlineStr">
        <is>
          <t>Y</t>
        </is>
      </c>
      <c r="AX130" s="98" t="inlineStr">
        <is>
          <t>2026-10-14 00:34:57</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0" t="inlineStr">
        <is>
          <t>Amazon.ca organic #12 for 'bamboo sheets queen'; 100% Viscose Derived from Bamboo; variation_count = distinct children exposed in page variation map, not a guaranteed complete catalogue. Bought-past-month badge not displayed.</t>
        </is>
      </c>
    </row>
    <row r="131" ht="62" customHeight="1">
      <c r="A131" s="10">
        <f>_xlfn.IMAGE("https://m.media-amazon.com/images/I/81svKInu7aL.jpg")</f>
        <v/>
      </c>
      <c r="B131" s="86" t="inlineStr">
        <is>
          <t>Bambaw</t>
        </is>
      </c>
      <c r="C131" s="32" t="inlineStr">
        <is>
          <t>Bambaw 100% Viscose Derived from Bamboo Sheets Queen Size Set – 4pcs Cooling Sheet Set, Super Soft Sheets Queen Size, Luxury Bed Sheets, Deep Pocket Fits Up to 16'' Mattresses (Charcoal)</t>
        </is>
      </c>
      <c r="D131" s="86" t="inlineStr">
        <is>
          <t>Untiered</t>
        </is>
      </c>
      <c r="E131" s="87" t="inlineStr">
        <is>
          <t>B07K6SYX8L</t>
        </is>
      </c>
      <c r="F131" s="87" t="inlineStr">
        <is>
          <t>B0DR99Q37Y</t>
        </is>
      </c>
      <c r="G131" s="86" t="inlineStr">
        <is>
          <t>Queen</t>
        </is>
      </c>
      <c r="H131" s="86" t="inlineStr">
        <is>
          <t>Charcoal</t>
        </is>
      </c>
      <c r="I131" s="88" t="n">
        <v>112</v>
      </c>
      <c r="J131" s="32" t="n"/>
      <c r="K131" s="89" t="n">
        <v>139.95</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14 children</t>
        </is>
      </c>
      <c r="R131" s="88" t="n">
        <v>5024</v>
      </c>
      <c r="S131" s="88" t="n"/>
      <c r="T131" s="93">
        <f>IF(AND(ISNUMBER(K131),ISNUMBER(S131)),K131*S131*52/12,"")</f>
        <v/>
      </c>
      <c r="U131" s="94" t="n">
        <v>4.3</v>
      </c>
      <c r="V131" s="88" t="n">
        <v>3030</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99" t="n">
        <v>139.95</v>
      </c>
      <c r="AV131" s="98" t="inlineStr">
        <is>
          <t>none</t>
        </is>
      </c>
      <c r="AW131" s="98" t="inlineStr">
        <is>
          <t>Y</t>
        </is>
      </c>
      <c r="AX131" s="98" t="inlineStr">
        <is>
          <t>2026-10-14 00:34:55</t>
        </is>
      </c>
      <c r="AY131" s="100" t="inlineStr">
        <is>
          <t>Price cut only</t>
        </is>
      </c>
      <c r="AZ131" s="100" t="inlineStr">
        <is>
          <t>11-20 to 12-01</t>
        </is>
      </c>
      <c r="BA131" s="101" t="n">
        <v>139.95</v>
      </c>
      <c r="BB131" s="101" t="n">
        <v>118.96</v>
      </c>
      <c r="BC131" s="90">
        <f>IF(AND(ISNUMBER(BA131),ISNUMBER(BB131),N(BA131)&gt;0),1-BB131/BA131,"")</f>
        <v/>
      </c>
      <c r="BD131" s="102" t="n">
        <v>8116</v>
      </c>
      <c r="BE131" s="102" t="n">
        <v>5068</v>
      </c>
      <c r="BF131" s="103">
        <f>IF(AND(ISNUMBER(BD131),ISNUMBER(BE131),N(BE131)&gt;0),BD131/BE131,"")</f>
        <v/>
      </c>
      <c r="BG131" s="100" t="inlineStr">
        <is>
          <t>N</t>
        </is>
      </c>
      <c r="BH131" s="100" t="inlineStr">
        <is>
          <t>Amazon.ca organic #12 for 'bamboo sheets king'; 100% Viscose Derived from Bamboo; Search child B0DR98RPTK; selected Queen - 4 PCS child B0DR99Q37Y. variation_count = distinct children exposed in page variation map, not a guaranteed complete c</t>
        </is>
      </c>
    </row>
    <row r="132" ht="62" customHeight="1">
      <c r="A132" s="10">
        <f>_xlfn.IMAGE("https://m.media-amazon.com/images/I/819Dj6rLeGL.jpg")</f>
        <v/>
      </c>
      <c r="B132" s="86" t="inlineStr">
        <is>
          <t>GOKOTTA</t>
        </is>
      </c>
      <c r="C132" s="32" t="inlineStr">
        <is>
          <t>Gökotta Queen Bed Sheets 4 Piece, 100% FSC® Certified Bamboo, Cooling</t>
        </is>
      </c>
      <c r="D132" s="86" t="inlineStr">
        <is>
          <t>Untiered</t>
        </is>
      </c>
      <c r="E132" s="87" t="inlineStr">
        <is>
          <t>B09WY1GFH8</t>
        </is>
      </c>
      <c r="F132" s="87" t="inlineStr">
        <is>
          <t>B08F3HFQ6X</t>
        </is>
      </c>
      <c r="G132" s="86" t="inlineStr">
        <is>
          <t>Queen</t>
        </is>
      </c>
      <c r="H132" s="86" t="inlineStr">
        <is>
          <t>01 Cream White</t>
        </is>
      </c>
      <c r="I132" s="88" t="n">
        <v>101</v>
      </c>
      <c r="J132" s="32" t="n"/>
      <c r="K132" s="89" t="n">
        <v>139.99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14 children</t>
        </is>
      </c>
      <c r="R132" s="88" t="n">
        <v>4180</v>
      </c>
      <c r="S132" s="88" t="n"/>
      <c r="T132" s="93">
        <f>IF(AND(ISNUMBER(K132),ISNUMBER(S132)),K132*S132*52/12,"")</f>
        <v/>
      </c>
      <c r="U132" s="94" t="n">
        <v>4.4</v>
      </c>
      <c r="V132" s="88" t="n">
        <v>2698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154.99</v>
      </c>
      <c r="AU132" s="99" t="n">
        <v>139.99</v>
      </c>
      <c r="AV132" s="98" t="inlineStr">
        <is>
          <t>coupon $10</t>
        </is>
      </c>
      <c r="AW132" s="98" t="inlineStr">
        <is>
          <t>Y</t>
        </is>
      </c>
      <c r="AX132" s="98" t="inlineStr">
        <is>
          <t>2026-10-14 00:35:00</t>
        </is>
      </c>
      <c r="AY132" s="100" t="inlineStr">
        <is>
          <t>Price cut only</t>
        </is>
      </c>
      <c r="AZ132" s="100" t="inlineStr">
        <is>
          <t>11-20 to 12-01</t>
        </is>
      </c>
      <c r="BA132" s="101" t="n">
        <v>139.99</v>
      </c>
      <c r="BB132" s="101" t="n">
        <v>114.99</v>
      </c>
      <c r="BC132" s="90">
        <f>IF(AND(ISNUMBER(BA132),ISNUMBER(BB132),N(BA132)&gt;0),1-BB132/BA132,"")</f>
        <v/>
      </c>
      <c r="BD132" s="102" t="n">
        <v>4401</v>
      </c>
      <c r="BE132" s="102" t="n">
        <v>2814</v>
      </c>
      <c r="BF132" s="103">
        <f>IF(AND(ISNUMBER(BD132),ISNUMBER(BE132),N(BE132)&gt;0),BD132/BE132,"")</f>
        <v/>
      </c>
      <c r="BG132" s="100" t="inlineStr">
        <is>
          <t>N</t>
        </is>
      </c>
      <c r="BH132"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3" ht="62" customHeight="1">
      <c r="A133" s="10">
        <f>_xlfn.IMAGE("https://m.media-amazon.com/images/I/71wGI7mFbBL.jpg")</f>
        <v/>
      </c>
      <c r="B133" s="86" t="inlineStr">
        <is>
          <t>Viviland</t>
        </is>
      </c>
      <c r="C133" s="32" t="inlineStr">
        <is>
          <t>Viviland Cooling Queen Sheets, 100% Viscose Derived Bamboo, Sage Green</t>
        </is>
      </c>
      <c r="D133" s="86" t="inlineStr">
        <is>
          <t>Untiered</t>
        </is>
      </c>
      <c r="E133" s="87" t="inlineStr">
        <is>
          <t>B0F24WLDTG</t>
        </is>
      </c>
      <c r="F133" s="87" t="inlineStr">
        <is>
          <t>B0H8S57BK7</t>
        </is>
      </c>
      <c r="G133" s="86" t="inlineStr">
        <is>
          <t>Queen</t>
        </is>
      </c>
      <c r="H133" s="86" t="inlineStr">
        <is>
          <t>Sage Green</t>
        </is>
      </c>
      <c r="I133" s="88" t="n">
        <v>52</v>
      </c>
      <c r="J133" s="32" t="n"/>
      <c r="K133" s="89" t="n">
        <v>68.39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14 children</t>
        </is>
      </c>
      <c r="R133" s="88" t="n">
        <v>12341</v>
      </c>
      <c r="S133" s="88" t="n"/>
      <c r="T133" s="93">
        <f>IF(AND(ISNUMBER(K133),ISNUMBER(S133)),K133*S133*52/12,"")</f>
        <v/>
      </c>
      <c r="U133" s="94" t="n">
        <v>4.4</v>
      </c>
      <c r="V133" s="88" t="n">
        <v>146</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Was price</t>
        </is>
      </c>
      <c r="AT133" s="99" t="n">
        <v>71.98999999999999</v>
      </c>
      <c r="AU133" s="99" t="n">
        <v>68.39</v>
      </c>
      <c r="AV133" s="98" t="inlineStr">
        <is>
          <t>none</t>
        </is>
      </c>
      <c r="AW133" s="98" t="inlineStr">
        <is>
          <t>Y</t>
        </is>
      </c>
      <c r="AX133" s="98" t="inlineStr">
        <is>
          <t>2026-10-14 00:33:38</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#13 for 'bamboo sheets king'; 100% Viscose; Search child B0F1KLQJZ7; selected Queen (U.S. Standard) child B0H8S57BK7. variation_count = distinct children exposed in page variation map, not a guaranteed co</t>
        </is>
      </c>
    </row>
    <row r="134" ht="62" customHeight="1">
      <c r="A134" s="10">
        <f>_xlfn.IMAGE("https://m.media-amazon.com/images/I/717ErtYBKJL.jpg")</f>
        <v/>
      </c>
      <c r="B134" s="86" t="inlineStr">
        <is>
          <t>BAMPURE</t>
        </is>
      </c>
      <c r="C134" s="32" t="inlineStr">
        <is>
          <t>BAMPURE 100% Organic Bamboo Sheets Queen 4PC - Cooling Sheets Set</t>
        </is>
      </c>
      <c r="D134" s="86" t="inlineStr">
        <is>
          <t>Untiered</t>
        </is>
      </c>
      <c r="E134" s="86" t="n"/>
      <c r="F134" s="87" t="inlineStr">
        <is>
          <t>B0DPLJ4BN4</t>
        </is>
      </c>
      <c r="G134" s="86" t="inlineStr">
        <is>
          <t>Queen</t>
        </is>
      </c>
      <c r="H134" s="86" t="inlineStr">
        <is>
          <t>Navy</t>
        </is>
      </c>
      <c r="I134" s="88" t="n"/>
      <c r="J134" s="32" t="n"/>
      <c r="K134" s="89" t="n">
        <v>74.98999999999999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14 children</t>
        </is>
      </c>
      <c r="R134" s="88" t="n">
        <v>110902</v>
      </c>
      <c r="S134" s="88" t="n"/>
      <c r="T134" s="93">
        <f>IF(AND(ISNUMBER(K134),ISNUMBER(S134)),K134*S134*52/12,"")</f>
        <v/>
      </c>
      <c r="U134" s="94" t="n">
        <v>3.3</v>
      </c>
      <c r="V134" s="88" t="n">
        <v>18</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Y</t>
        </is>
      </c>
      <c r="AS134" s="98" t="inlineStr">
        <is>
          <t>List Price</t>
        </is>
      </c>
      <c r="AT134" s="99" t="n">
        <v>89.98999999999999</v>
      </c>
      <c r="AU134" s="99" t="n">
        <v>74.98999999999999</v>
      </c>
      <c r="AV134" s="98" t="inlineStr">
        <is>
          <t>none</t>
        </is>
      </c>
      <c r="AW134" s="98" t="inlineStr">
        <is>
          <t>Y</t>
        </is>
      </c>
      <c r="AX134" s="98" t="inlineStr">
        <is>
          <t>2026-10-14 00:35:15</t>
        </is>
      </c>
      <c r="AY134" s="100" t="inlineStr">
        <is>
          <t>Price cut only</t>
        </is>
      </c>
      <c r="AZ134" s="100" t="inlineStr">
        <is>
          <t>11-20 to 11-27</t>
        </is>
      </c>
      <c r="BA134" s="101" t="n">
        <v>89.98999999999999</v>
      </c>
      <c r="BB134" s="101" t="n">
        <v>78.98999999999999</v>
      </c>
      <c r="BC134" s="90">
        <f>IF(AND(ISNUMBER(BA134),ISNUMBER(BB134),N(BA134)&gt;0),1-BB134/BA134,"")</f>
        <v/>
      </c>
      <c r="BD134" s="102" t="n">
        <v>1937</v>
      </c>
      <c r="BE134" s="102" t="n">
        <v>1376</v>
      </c>
      <c r="BF134" s="103">
        <f>IF(AND(ISNUMBER(BD134),ISNUMBER(BE134),N(BE134)&gt;0),BD134/BE134,"")</f>
        <v/>
      </c>
      <c r="BG134" s="100" t="inlineStr">
        <is>
          <t>N</t>
        </is>
      </c>
      <c r="BH134" s="100" t="inlineStr">
        <is>
          <t>Amazon.ca organic #14 for 'bamboo sheets queen'; 100% Viscose Derived from Bamboo; Page parent field repeats the selected child; no distinct parent ASIN exposed. Treated as standalone observed listing. Parent ASIN not exposed. No child variati</t>
        </is>
      </c>
    </row>
    <row r="135" ht="62" customHeight="1">
      <c r="A135" s="10">
        <f>_xlfn.IMAGE("https://m.media-amazon.com/images/I/81cBDD-c36L.jpg")</f>
        <v/>
      </c>
      <c r="B135" s="86" t="inlineStr">
        <is>
          <t>YASMENG</t>
        </is>
      </c>
      <c r="C135" s="32" t="inlineStr">
        <is>
          <t>100% Bamboo Rayon Cooling Sheets Queen Set Black Silky Soft Bedding</t>
        </is>
      </c>
      <c r="D135" s="86" t="inlineStr">
        <is>
          <t>Untiered</t>
        </is>
      </c>
      <c r="E135" s="86" t="n"/>
      <c r="F135" s="87" t="inlineStr">
        <is>
          <t>B0FXWJD1B1</t>
        </is>
      </c>
      <c r="G135" s="86" t="inlineStr">
        <is>
          <t>Queen</t>
        </is>
      </c>
      <c r="H135" s="86" t="inlineStr">
        <is>
          <t>Black</t>
        </is>
      </c>
      <c r="I135" s="88" t="n"/>
      <c r="J135" s="32" t="n"/>
      <c r="K135" s="89" t="n">
        <v>44.99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14 children</t>
        </is>
      </c>
      <c r="R135" s="88" t="n">
        <v>153053</v>
      </c>
      <c r="S135" s="88" t="n"/>
      <c r="T135" s="93">
        <f>IF(AND(ISNUMBER(K135),ISNUMBER(S135)),K135*S135*52/12,"")</f>
        <v/>
      </c>
      <c r="U135" s="94" t="n">
        <v>1</v>
      </c>
      <c r="V135" s="88" t="n">
        <v>1</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94.98999999999999</v>
      </c>
      <c r="AU135" s="99" t="n">
        <v>44.99</v>
      </c>
      <c r="AV135" s="98" t="inlineStr">
        <is>
          <t>none</t>
        </is>
      </c>
      <c r="AW135" s="98" t="inlineStr">
        <is>
          <t>Y</t>
        </is>
      </c>
      <c r="AX135" s="98" t="inlineStr">
        <is>
          <t>2026-10-14 00:35:39</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0" t="inlineStr">
        <is>
          <t>Amazon.ca organic #17 for 'bamboo sheets queen'; 100% Rayon Derived from Bamboo; Page parent field repeats the selected child; no distinct parent ASIN exposed. Treated as standalone observed listing. Parent ASIN not exposed. No child variati</t>
        </is>
      </c>
    </row>
    <row r="136" ht="62" customHeight="1">
      <c r="A136" s="10">
        <f>_xlfn.IMAGE("https://m.media-amazon.com/images/I/717dwVGXtTL.jpg")</f>
        <v/>
      </c>
      <c r="B136" s="86" t="inlineStr">
        <is>
          <t>Sweave</t>
        </is>
      </c>
      <c r="C136" s="32" t="inlineStr">
        <is>
          <t>100% Organically Rayon Derived from Bamboo Sheets Queen, 4Pcs Set, Ivory</t>
        </is>
      </c>
      <c r="D136" s="86" t="inlineStr">
        <is>
          <t>Untiered</t>
        </is>
      </c>
      <c r="E136" s="87" t="inlineStr">
        <is>
          <t>B091Z7KM7B</t>
        </is>
      </c>
      <c r="F136" s="87" t="inlineStr">
        <is>
          <t>B0CNRQXKYR</t>
        </is>
      </c>
      <c r="G136" s="86" t="inlineStr">
        <is>
          <t>Queen</t>
        </is>
      </c>
      <c r="H136" s="86" t="inlineStr">
        <is>
          <t>Ivory (100% Organic Viscose Made from Bamboo)</t>
        </is>
      </c>
      <c r="I136" s="88" t="n">
        <v>15</v>
      </c>
      <c r="J136" s="32" t="n"/>
      <c r="K136" s="89" t="n">
        <v>71.98999999999999</v>
      </c>
      <c r="L136" s="89" t="n"/>
      <c r="M136" s="90">
        <f>IF(AND(ISNUMBER(L136),ISNUMBER(K136),N(K136)&gt;0),L136/K136-1,"")</f>
        <v/>
      </c>
      <c r="N136" s="91">
        <f>IF(M136="","No List Price",IF(M136&lt;=0,"At/below price",IF(M136&lt;=0.12,"&lt;=12% STR zone",IF(M136&lt;=0.25,"12-25%","&gt;25% over"))))</f>
        <v/>
      </c>
      <c r="O136" s="89" t="n">
        <v>99.98999999999999</v>
      </c>
      <c r="P136" s="92">
        <f>IF(AND(ISNUMBER(K136),ISNUMBER(O136),N(O136)&gt;0),K136/O136-1,"")</f>
        <v/>
      </c>
      <c r="Q136" s="32" t="inlineStr">
        <is>
          <t>Same size (Queen), CAD. Ours live: Helium 10 Xray (Amazon.ca, CAD), 2026-10-14; 14 children</t>
        </is>
      </c>
      <c r="R136" s="88" t="n">
        <v>46605</v>
      </c>
      <c r="S136" s="88" t="n"/>
      <c r="T136" s="93">
        <f>IF(AND(ISNUMBER(K136),ISNUMBER(S136)),K136*S136*52/12,"")</f>
        <v/>
      </c>
      <c r="U136" s="94" t="n">
        <v>4</v>
      </c>
      <c r="V136" s="88" t="n">
        <v>25</v>
      </c>
      <c r="W136" s="95" t="n">
        <v>46309</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N</t>
        </is>
      </c>
      <c r="AS136" s="98" t="inlineStr">
        <is>
          <t>none</t>
        </is>
      </c>
      <c r="AT136" s="104" t="n"/>
      <c r="AU136" s="99" t="n">
        <v>71.98999999999999</v>
      </c>
      <c r="AV136" s="98" t="inlineStr">
        <is>
          <t>none</t>
        </is>
      </c>
      <c r="AW136" s="98" t="inlineStr">
        <is>
          <t>Y</t>
        </is>
      </c>
      <c r="AX136" s="98" t="inlineStr">
        <is>
          <t>2026-10-14 00:35:36</t>
        </is>
      </c>
      <c r="AY136" s="100" t="inlineStr">
        <is>
          <t>None</t>
        </is>
      </c>
      <c r="AZ136" s="105" t="n"/>
      <c r="BA136" s="101" t="n">
        <v>146.53</v>
      </c>
      <c r="BB136" s="101" t="n">
        <v>146.53</v>
      </c>
      <c r="BC136" s="90">
        <f>IF(AND(ISNUMBER(BA136),ISNUMBER(BB136),N(BA136)&gt;0),1-BB136/BA136,"")</f>
        <v/>
      </c>
      <c r="BD136" s="102" t="n">
        <v>668586</v>
      </c>
      <c r="BE136" s="102" t="n">
        <v>748996</v>
      </c>
      <c r="BF136" s="103">
        <f>IF(AND(ISNUMBER(BD136),ISNUMBER(BE136),N(BE136)&gt;0),BD136/BE136,"")</f>
        <v/>
      </c>
      <c r="BG136" s="100" t="inlineStr">
        <is>
          <t>N</t>
        </is>
      </c>
      <c r="BH136" s="100" t="inlineStr">
        <is>
          <t>Amazon.ca organic #17 for 'bamboo sheets king'; 100% Organic Viscose Derived from Bamboo; Search child B0CNRPZJBK; selected Queen child B0CNRQXKYR. variation_count = distinct children exposed in page variation map, not a guaranteed complete catalogue</t>
        </is>
      </c>
    </row>
    <row r="137" ht="62" customHeight="1">
      <c r="A137" s="10">
        <f>_xlfn.IMAGE("https://m.media-amazon.com/images/I/71XnPNu62FL.jpg")</f>
        <v/>
      </c>
      <c r="B137" s="86" t="inlineStr">
        <is>
          <t>CAROMIO</t>
        </is>
      </c>
      <c r="C137" s="32" t="inlineStr">
        <is>
          <t>CAROMIO Sheets Set Queen Size Rayon Derived from Bamboo, Cooling Bed Sheets</t>
        </is>
      </c>
      <c r="D137" s="86" t="inlineStr">
        <is>
          <t>Untiered</t>
        </is>
      </c>
      <c r="E137" s="87" t="inlineStr">
        <is>
          <t>B095L9VFG4</t>
        </is>
      </c>
      <c r="F137" s="87" t="inlineStr">
        <is>
          <t>B08XK2ZFTL</t>
        </is>
      </c>
      <c r="G137" s="86" t="inlineStr">
        <is>
          <t>Queen</t>
        </is>
      </c>
      <c r="H137" s="86" t="inlineStr">
        <is>
          <t>White</t>
        </is>
      </c>
      <c r="I137" s="88" t="n">
        <v>29</v>
      </c>
      <c r="J137" s="32" t="n"/>
      <c r="K137" s="89" t="n">
        <v>69.98999999999999</v>
      </c>
      <c r="L137" s="89" t="n"/>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(Queen), CAD. Ours live: Helium 10 Xray (Amazon.ca, CAD), 2026-10-14; 14 children</t>
        </is>
      </c>
      <c r="R137" s="88" t="n">
        <v>70805</v>
      </c>
      <c r="S137" s="88" t="n"/>
      <c r="T137" s="93">
        <f>IF(AND(ISNUMBER(K137),ISNUMBER(S137)),K137*S137*52/12,"")</f>
        <v/>
      </c>
      <c r="U137" s="94" t="n">
        <v>4.2</v>
      </c>
      <c r="V137" s="88" t="n">
        <v>1050</v>
      </c>
      <c r="W137" s="95" t="n">
        <v>46309</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N</t>
        </is>
      </c>
      <c r="AS137" s="98" t="inlineStr">
        <is>
          <t>none</t>
        </is>
      </c>
      <c r="AT137" s="104" t="n"/>
      <c r="AU137" s="99" t="n">
        <v>69.98999999999999</v>
      </c>
      <c r="AV137" s="98" t="inlineStr">
        <is>
          <t>none</t>
        </is>
      </c>
      <c r="AW137" s="98" t="inlineStr">
        <is>
          <t>Y</t>
        </is>
      </c>
      <c r="AX137" s="98" t="inlineStr">
        <is>
          <t>2026-10-14 00:34:37</t>
        </is>
      </c>
      <c r="AY137" s="100" t="inlineStr">
        <is>
          <t>Prime Exclusive Discount</t>
        </is>
      </c>
      <c r="AZ137" s="100" t="inlineStr">
        <is>
          <t>11-20 to 12-01</t>
        </is>
      </c>
      <c r="BA137" s="101" t="n">
        <v>79.98999999999999</v>
      </c>
      <c r="BB137" s="101" t="n">
        <v>62.99</v>
      </c>
      <c r="BC137" s="90">
        <f>IF(AND(ISNUMBER(BA137),ISNUMBER(BB137),N(BA137)&gt;0),1-BB137/BA137,"")</f>
        <v/>
      </c>
      <c r="BD137" s="102" t="n">
        <v>18567</v>
      </c>
      <c r="BE137" s="102" t="n">
        <v>16929</v>
      </c>
      <c r="BF137" s="103">
        <f>IF(AND(ISNUMBER(BD137),ISNUMBER(BE137),N(BE137)&gt;0),BD137/BE137,"")</f>
        <v/>
      </c>
      <c r="BG137" s="100" t="inlineStr">
        <is>
          <t>N</t>
        </is>
      </c>
      <c r="BH137" s="100" t="inlineStr">
        <is>
          <t>Amazon.ca organic #18 for 'bamboo sheets king'; 100% Viscose from Bamboo; Search child B08XK9TQDZ; selected Queen child B08XK2ZFTL. variation_count = distinct children exposed in page variation map, not a guaranteed complete catalogue</t>
        </is>
      </c>
    </row>
    <row r="139" ht="20" customHeight="1">
      <c r="A139" s="53" t="inlineStr">
        <is>
          <t>5 · WHAT THIS MEANS FOR BFCM</t>
        </is>
      </c>
    </row>
    <row r="140" ht="30" customHeight="1">
      <c r="A140" s="107" t="inlineStr">
        <is>
          <t>•  Price: 13 of 15 rivals sit below our price today (same size where the title states one). Cheapest strong rivals: MCO $38.99, YASMENG $44.99, Sasttie $49.99, Viviland $68.39. CA prices are CAD; ours is the live Amazon.ca price (Helium 10 Xray) where held.</t>
        </is>
      </c>
    </row>
    <row r="141" ht="30" customHeight="1">
      <c r="A141" s="107" t="inlineStr">
        <is>
          <t>•  Top organic on Amazon.ca (Oct 13): #1 Bedsure $94.99 (bamboo sheets queen); #1 BAMPURE $83.69 (bamboo sheets king); #2 Sasttie $49.99 (cooling bamboo sheets); #5 Andency $69.99 (bamboo sheets king); #7 ACCURATEX $94.99 (cooling bamboo sheets).</t>
        </is>
      </c>
    </row>
    <row r="142" ht="30" customHeight="1">
      <c r="A142"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3" ht="18" customHeight="1">
      <c r="A143" s="107" t="inlineStr">
        <is>
          <t>•  Our BFCM 2025: 3.08x daily sales in BFCM week vs the 30 days before; TACoS 11.5% vs 12.7% before; December 2.19x.</t>
        </is>
      </c>
    </row>
  </sheetData>
  <autoFilter ref="B122:BH137"/>
  <mergeCells count="71">
    <mergeCell ref="A15:BH15"/>
    <mergeCell ref="A108:C108"/>
    <mergeCell ref="L5:Q5"/>
    <mergeCell ref="A142:BH142"/>
    <mergeCell ref="A1:BH1"/>
    <mergeCell ref="A110:BH110"/>
    <mergeCell ref="Q11:T11"/>
    <mergeCell ref="A101:C101"/>
    <mergeCell ref="L8:Q8"/>
    <mergeCell ref="A105:C105"/>
    <mergeCell ref="A119:BH119"/>
    <mergeCell ref="X121:Z121"/>
    <mergeCell ref="AA121:AQ121"/>
    <mergeCell ref="L4:Q4"/>
    <mergeCell ref="D7:I7"/>
    <mergeCell ref="A13:D13"/>
    <mergeCell ref="I13:L13"/>
    <mergeCell ref="A16:BH16"/>
    <mergeCell ref="A99:BH99"/>
    <mergeCell ref="D4:I4"/>
    <mergeCell ref="L10:Q10"/>
    <mergeCell ref="E12:H12"/>
    <mergeCell ref="Q13:T13"/>
    <mergeCell ref="D9:I9"/>
    <mergeCell ref="A118:BH118"/>
    <mergeCell ref="U12:X12"/>
    <mergeCell ref="L9:Q9"/>
    <mergeCell ref="Q12:T12"/>
    <mergeCell ref="A100:C100"/>
    <mergeCell ref="A11:D11"/>
    <mergeCell ref="A106:C106"/>
    <mergeCell ref="K121:W121"/>
    <mergeCell ref="I11:L11"/>
    <mergeCell ref="A120:BH120"/>
    <mergeCell ref="A3:BH3"/>
    <mergeCell ref="L6:Q6"/>
    <mergeCell ref="D8:I8"/>
    <mergeCell ref="A4:B9"/>
    <mergeCell ref="AR121:AX121"/>
    <mergeCell ref="T6:Y6"/>
    <mergeCell ref="A139:BH139"/>
    <mergeCell ref="A113:BH113"/>
    <mergeCell ref="A102:C102"/>
    <mergeCell ref="D5:I5"/>
    <mergeCell ref="A116:BH116"/>
    <mergeCell ref="M11:P11"/>
    <mergeCell ref="A141:BH141"/>
    <mergeCell ref="U11:X11"/>
    <mergeCell ref="A140:BH140"/>
    <mergeCell ref="E13:H13"/>
    <mergeCell ref="A109:BH109"/>
    <mergeCell ref="D10:I10"/>
    <mergeCell ref="L7:Q7"/>
    <mergeCell ref="T5:Y5"/>
    <mergeCell ref="A107:C107"/>
    <mergeCell ref="AY121:BH121"/>
    <mergeCell ref="A103:C103"/>
    <mergeCell ref="A12:D12"/>
    <mergeCell ref="M13:P13"/>
    <mergeCell ref="A112:BH112"/>
    <mergeCell ref="A115:BH115"/>
    <mergeCell ref="I12:L12"/>
    <mergeCell ref="U13:X13"/>
    <mergeCell ref="A121:H121"/>
    <mergeCell ref="M12:P12"/>
    <mergeCell ref="A111:BH111"/>
    <mergeCell ref="T4:Y4"/>
    <mergeCell ref="D6:I6"/>
    <mergeCell ref="E11:H11"/>
    <mergeCell ref="A143:BH143"/>
    <mergeCell ref="A114:BH114"/>
  </mergeCells>
  <conditionalFormatting sqref="N123:N137">
    <cfRule type="expression" priority="1" dxfId="1">
      <formula>N123="&lt;=12% STR zone"</formula>
    </cfRule>
  </conditionalFormatting>
  <conditionalFormatting sqref="W123:W137">
    <cfRule type="expression" priority="2" dxfId="0">
      <formula>AND(ISNUMBER(W123),W123&lt;DATE(2026,10,6))</formula>
    </cfRule>
  </conditionalFormatting>
  <conditionalFormatting sqref="Q123:Q137">
    <cfRule type="expression" priority="3" dxfId="0">
      <formula>ISNUMBER(SEARCH("STALE",Q123))</formula>
    </cfRule>
  </conditionalFormatting>
  <conditionalFormatting sqref="P123:P137">
    <cfRule type="expression" priority="4" dxfId="0">
      <formula>AND(ISNUMBER(P123),P123&lt;0)</formula>
    </cfRule>
  </conditionalFormatting>
  <dataValidations count="3">
    <dataValidation sqref="AR123:AR137 BG123:BG137" showDropDown="0" showInputMessage="0" showErrorMessage="0" allowBlank="1" type="list">
      <formula1>"Y,N"</formula1>
    </dataValidation>
    <dataValidation sqref="AS123:AS137" showDropDown="0" showInputMessage="0" showErrorMessage="0" allowBlank="1" type="list">
      <formula1>"List Price,Typical price,Was price,None"</formula1>
    </dataValidation>
    <dataValidation sqref="AY123: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3" r:id="rId2"/>
    <hyperlink xmlns:r="http://schemas.openxmlformats.org/officeDocument/2006/relationships" ref="F123" r:id="rId3"/>
    <hyperlink xmlns:r="http://schemas.openxmlformats.org/officeDocument/2006/relationships" ref="E124" r:id="rId4"/>
    <hyperlink xmlns:r="http://schemas.openxmlformats.org/officeDocument/2006/relationships" ref="F124" r:id="rId5"/>
    <hyperlink xmlns:r="http://schemas.openxmlformats.org/officeDocument/2006/relationships" ref="E125" r:id="rId6"/>
    <hyperlink xmlns:r="http://schemas.openxmlformats.org/officeDocument/2006/relationships" ref="F125" r:id="rId7"/>
    <hyperlink xmlns:r="http://schemas.openxmlformats.org/officeDocument/2006/relationships" ref="E126" r:id="rId8"/>
    <hyperlink xmlns:r="http://schemas.openxmlformats.org/officeDocument/2006/relationships" ref="F126" r:id="rId9"/>
    <hyperlink xmlns:r="http://schemas.openxmlformats.org/officeDocument/2006/relationships" ref="E127" r:id="rId10"/>
    <hyperlink xmlns:r="http://schemas.openxmlformats.org/officeDocument/2006/relationships" ref="F127" r:id="rId11"/>
    <hyperlink xmlns:r="http://schemas.openxmlformats.org/officeDocument/2006/relationships" ref="E128" r:id="rId12"/>
    <hyperlink xmlns:r="http://schemas.openxmlformats.org/officeDocument/2006/relationships" ref="F128" r:id="rId13"/>
    <hyperlink xmlns:r="http://schemas.openxmlformats.org/officeDocument/2006/relationships" ref="E129" r:id="rId14"/>
    <hyperlink xmlns:r="http://schemas.openxmlformats.org/officeDocument/2006/relationships" ref="F129" r:id="rId15"/>
    <hyperlink xmlns:r="http://schemas.openxmlformats.org/officeDocument/2006/relationships" ref="E130" r:id="rId16"/>
    <hyperlink xmlns:r="http://schemas.openxmlformats.org/officeDocument/2006/relationships" ref="F130" r:id="rId17"/>
    <hyperlink xmlns:r="http://schemas.openxmlformats.org/officeDocument/2006/relationships" ref="E131" r:id="rId18"/>
    <hyperlink xmlns:r="http://schemas.openxmlformats.org/officeDocument/2006/relationships" ref="F131" r:id="rId19"/>
    <hyperlink xmlns:r="http://schemas.openxmlformats.org/officeDocument/2006/relationships" ref="E132" r:id="rId20"/>
    <hyperlink xmlns:r="http://schemas.openxmlformats.org/officeDocument/2006/relationships" ref="F132" r:id="rId21"/>
    <hyperlink xmlns:r="http://schemas.openxmlformats.org/officeDocument/2006/relationships" ref="E133" r:id="rId22"/>
    <hyperlink xmlns:r="http://schemas.openxmlformats.org/officeDocument/2006/relationships" ref="F133" r:id="rId23"/>
    <hyperlink xmlns:r="http://schemas.openxmlformats.org/officeDocument/2006/relationships" ref="F134"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20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Bamboo Sheets 6 Piece  ·  Amazon.com (US)  ·  Bamboo  ·  BFCM role: Hero: rank and profit  ·  Scope: Core</t>
        </is>
      </c>
    </row>
    <row r="2">
      <c r="A2" s="52" t="inlineStr">
        <is>
          <t>← Dashboard</t>
        </is>
      </c>
    </row>
    <row r="3" ht="20" customHeight="1">
      <c r="A3" s="53"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4" t="inlineStr">
        <is>
          <t>California King, Cal King, Full, King, Queen, Twin</t>
        </is>
      </c>
      <c r="S4" s="11" t="inlineStr">
        <is>
          <t>Break-even ACoS</t>
        </is>
      </c>
      <c r="T4" s="54" t="inlineStr">
        <is>
          <t>41%</t>
        </is>
      </c>
    </row>
    <row r="5" ht="22" customHeight="1">
      <c r="C5" s="11" t="inlineStr">
        <is>
          <t>Brand</t>
        </is>
      </c>
      <c r="D5" s="54" t="inlineStr">
        <is>
          <t>Decolure</t>
        </is>
      </c>
      <c r="K5" s="11" t="inlineStr">
        <is>
          <t>Colours</t>
        </is>
      </c>
      <c r="L5" s="54" t="inlineStr">
        <is>
          <t>Black, Burgundy, Charcoal, Creme, Grey, Light Blue, Light Grey, Light Olive, Light Pink, Midgrey, Navy Blue, Olive, Purple, Sage Green, Taupe, White, Sage</t>
        </is>
      </c>
      <c r="S5" s="11" t="inlineStr">
        <is>
          <t>Units last 28 days</t>
        </is>
      </c>
      <c r="T5" s="54" t="inlineStr">
        <is>
          <t>1,905</t>
        </is>
      </c>
    </row>
    <row r="6" ht="22" customHeight="1">
      <c r="C6" s="11" t="inlineStr">
        <is>
          <t>Marketplace</t>
        </is>
      </c>
      <c r="D6" s="54" t="inlineStr">
        <is>
          <t>Amazon.com (US)</t>
        </is>
      </c>
      <c r="K6" s="11" t="inlineStr">
        <is>
          <t>Price now, best child</t>
        </is>
      </c>
      <c r="L6" s="54" t="inlineStr">
        <is>
          <t>$99.99 (Helium 10 Xray, 2026-10-13)</t>
        </is>
      </c>
      <c r="S6" s="11" t="inlineStr">
        <is>
          <t>Command Center product ASIN</t>
        </is>
      </c>
      <c r="T6" s="54" t="inlineStr">
        <is>
          <t>B0CQ31D5FM (one of our child ASINs, not the Amazon parent)</t>
        </is>
      </c>
    </row>
    <row r="7" ht="22" customHeight="1">
      <c r="C7" s="11" t="inlineStr">
        <is>
          <t>Parent ASIN (Amazon)</t>
        </is>
      </c>
      <c r="D7" s="54" t="inlineStr">
        <is>
          <t>B0H6335KNV</t>
        </is>
      </c>
      <c r="K7" s="11" t="inlineStr">
        <is>
          <t>Rating / reviews now</t>
        </is>
      </c>
      <c r="L7" s="54" t="inlineStr">
        <is>
          <t>4.4 / 3,153 (Helium 10 Xray, 2026-10-13)</t>
        </is>
      </c>
    </row>
    <row r="8" ht="22" customHeight="1">
      <c r="C8" s="11" t="inlineStr">
        <is>
          <t>Best-selling child ASIN</t>
        </is>
      </c>
      <c r="D8" s="54" t="inlineStr">
        <is>
          <t>B0CQ2XQF9N</t>
        </is>
      </c>
      <c r="K8" s="11" t="inlineStr">
        <is>
          <t>Live prices held</t>
        </is>
      </c>
      <c r="L8" s="54" t="inlineStr">
        <is>
          <t>65 of 86 variations</t>
        </is>
      </c>
    </row>
    <row r="9" ht="22" customHeight="1">
      <c r="C9" s="11" t="inlineStr">
        <is>
          <t>Stage</t>
        </is>
      </c>
      <c r="D9" s="54" t="inlineStr">
        <is>
          <t>Re-Launch</t>
        </is>
      </c>
      <c r="K9" s="11" t="inlineStr">
        <is>
          <t>Blended price (Command Center)</t>
        </is>
      </c>
      <c r="L9" s="54" t="inlineStr">
        <is>
          <t>$89.53 - fee feed as of 2026-03-30, STALE</t>
        </is>
      </c>
    </row>
    <row r="10">
      <c r="C10" s="11" t="inlineStr">
        <is>
          <t>Total variations (SKUs)</t>
        </is>
      </c>
      <c r="D10" s="54" t="n">
        <v>86</v>
      </c>
      <c r="K10" s="11" t="inlineStr">
        <is>
          <t>Contribution / unit</t>
        </is>
      </c>
      <c r="L10" s="54" t="inlineStr">
        <is>
          <t>$36.93</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2.49x</t>
        </is>
      </c>
      <c r="E12" s="56" t="inlineStr">
        <is>
          <t>6.4%</t>
        </is>
      </c>
      <c r="I12" s="56" t="inlineStr">
        <is>
          <t>1.36x</t>
        </is>
      </c>
      <c r="M12" s="56" t="inlineStr">
        <is>
          <t>61</t>
        </is>
      </c>
      <c r="Q12" s="56" t="inlineStr">
        <is>
          <t>42</t>
        </is>
      </c>
      <c r="U12" s="56" t="inlineStr">
        <is>
          <t>2</t>
        </is>
      </c>
    </row>
    <row r="13">
      <c r="A13" s="57" t="inlineStr">
        <is>
          <t>daily sales, BFCM wk vs 30 days before (SellerBoard actual)</t>
        </is>
      </c>
      <c r="E13" s="57" t="inlineStr">
        <is>
          <t>vs 7.4%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(86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59" t="n">
        <v>99.98999999999999</v>
      </c>
      <c r="H18" s="32" t="inlineStr">
        <is>
          <t>Helium 10 Xray, 2026-10-13</t>
        </is>
      </c>
      <c r="I18" s="60" t="n">
        <v>89.98999999999999</v>
      </c>
      <c r="J18" s="61" t="inlineStr">
        <is>
          <t>2026-03-30</t>
        </is>
      </c>
      <c r="K18" s="33" t="n">
        <v>35.12</v>
      </c>
      <c r="L18" s="62" t="n">
        <v>0.3902655850650072</v>
      </c>
      <c r="M18" s="63" t="n">
        <v>215</v>
      </c>
      <c r="N18" s="32" t="inlineStr">
        <is>
          <t>Active</t>
        </is>
      </c>
      <c r="O18" s="32" t="inlineStr">
        <is>
          <t>Yes (37%)</t>
        </is>
      </c>
      <c r="P18" s="64" t="n">
        <v>4.4</v>
      </c>
      <c r="Q18" s="63" t="n">
        <v>3153</v>
      </c>
      <c r="R18" s="63" t="n">
        <v>18045</v>
      </c>
      <c r="S18" s="63"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59" t="n">
        <v>99.98999999999999</v>
      </c>
      <c r="H19" s="32" t="inlineStr">
        <is>
          <t>Helium 10 Xray, 2026-10-13</t>
        </is>
      </c>
      <c r="I19" s="60" t="n">
        <v>89.98999999999999</v>
      </c>
      <c r="J19" s="61" t="inlineStr">
        <is>
          <t>2026-03-30</t>
        </is>
      </c>
      <c r="K19" s="33" t="n">
        <v>33.54</v>
      </c>
      <c r="L19" s="62" t="n">
        <v>0.3727080786754084</v>
      </c>
      <c r="M19" s="63" t="n">
        <v>191</v>
      </c>
      <c r="N19" s="32" t="n"/>
      <c r="O19" s="32" t="inlineStr">
        <is>
          <t>Yes (8%)</t>
        </is>
      </c>
      <c r="P19" s="64" t="n">
        <v>4.4</v>
      </c>
      <c r="Q19" s="63" t="n">
        <v>3153</v>
      </c>
      <c r="R19" s="63" t="n">
        <v>18049</v>
      </c>
      <c r="S19" s="63"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59" t="n">
        <v>94.98999999999999</v>
      </c>
      <c r="H20" s="32" t="inlineStr">
        <is>
          <t>Helium 10 Xray, 2026-10-13</t>
        </is>
      </c>
      <c r="I20" s="60" t="n">
        <v>84.98999999999999</v>
      </c>
      <c r="J20" s="61" t="inlineStr">
        <is>
          <t>2026-03-30</t>
        </is>
      </c>
      <c r="K20" s="33" t="n">
        <v>36.37</v>
      </c>
      <c r="L20" s="62" t="n">
        <v>0.4279326979644664</v>
      </c>
      <c r="M20" s="63" t="n">
        <v>143</v>
      </c>
      <c r="N20" s="32" t="inlineStr">
        <is>
          <t>Active</t>
        </is>
      </c>
      <c r="O20" s="32" t="inlineStr">
        <is>
          <t>Yes (8%)</t>
        </is>
      </c>
      <c r="P20" s="64" t="n">
        <v>4.4</v>
      </c>
      <c r="Q20" s="63" t="n">
        <v>3153</v>
      </c>
      <c r="R20" s="63" t="n">
        <v>18045</v>
      </c>
      <c r="S20" s="63"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59" t="n">
        <v>94.98999999999999</v>
      </c>
      <c r="H21" s="32" t="inlineStr">
        <is>
          <t>Helium 10 Xray, 2026-10-13</t>
        </is>
      </c>
      <c r="I21" s="60" t="n">
        <v>107.99</v>
      </c>
      <c r="J21" s="61" t="inlineStr">
        <is>
          <t>2026-03-30</t>
        </is>
      </c>
      <c r="K21" s="33" t="n">
        <v>55.08</v>
      </c>
      <c r="L21" s="62" t="n">
        <v>0.5100472265950551</v>
      </c>
      <c r="M21" s="63" t="n">
        <v>82</v>
      </c>
      <c r="N21" s="32" t="inlineStr">
        <is>
          <t>Active</t>
        </is>
      </c>
      <c r="O21" s="32" t="n"/>
      <c r="P21" s="64" t="n">
        <v>4.4</v>
      </c>
      <c r="Q21" s="63" t="n">
        <v>3153</v>
      </c>
      <c r="R21" s="63" t="n">
        <v>18049</v>
      </c>
      <c r="S21" s="63"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59" t="n">
        <v>99.98999999999999</v>
      </c>
      <c r="H22" s="32" t="inlineStr">
        <is>
          <t>Helium 10 Xray, 2026-10-13</t>
        </is>
      </c>
      <c r="I22" s="60" t="n">
        <v>89.98999999999999</v>
      </c>
      <c r="J22" s="61" t="inlineStr">
        <is>
          <t>2026-03-30</t>
        </is>
      </c>
      <c r="K22" s="33" t="n">
        <v>33.62</v>
      </c>
      <c r="L22" s="62" t="n">
        <v>0.3735970663407045</v>
      </c>
      <c r="M22" s="63" t="n">
        <v>76</v>
      </c>
      <c r="N22" s="32" t="inlineStr">
        <is>
          <t>Active</t>
        </is>
      </c>
      <c r="O22" s="32" t="n"/>
      <c r="P22" s="64" t="n">
        <v>4.4</v>
      </c>
      <c r="Q22" s="63" t="n">
        <v>3153</v>
      </c>
      <c r="R22" s="63" t="n">
        <v>18045</v>
      </c>
      <c r="S22" s="63"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59" t="n">
        <v>94.98999999999999</v>
      </c>
      <c r="H23" s="32" t="inlineStr">
        <is>
          <t>Helium 10 Xray, 2026-10-13</t>
        </is>
      </c>
      <c r="I23" s="60" t="n">
        <v>109.99</v>
      </c>
      <c r="J23" s="61" t="inlineStr">
        <is>
          <t>2026-03-30</t>
        </is>
      </c>
      <c r="K23" s="33" t="n">
        <v>56.92999999999999</v>
      </c>
      <c r="L23" s="62" t="n">
        <v>0.5175925084098554</v>
      </c>
      <c r="M23" s="63" t="n">
        <v>76</v>
      </c>
      <c r="N23" s="32" t="inlineStr">
        <is>
          <t>Active</t>
        </is>
      </c>
      <c r="O23" s="32" t="inlineStr">
        <is>
          <t>Yes (28%)</t>
        </is>
      </c>
      <c r="P23" s="64" t="n">
        <v>4.4</v>
      </c>
      <c r="Q23" s="63" t="n">
        <v>3153</v>
      </c>
      <c r="R23" s="63" t="n">
        <v>18045</v>
      </c>
      <c r="S23" s="63"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59" t="n">
        <v>99.98999999999999</v>
      </c>
      <c r="H24" s="32" t="inlineStr">
        <is>
          <t>Helium 10 Xray, 2026-10-13</t>
        </is>
      </c>
      <c r="I24" s="60" t="n">
        <v>84.98999999999999</v>
      </c>
      <c r="J24" s="61" t="inlineStr">
        <is>
          <t>2026-03-06</t>
        </is>
      </c>
      <c r="K24" s="33" t="n">
        <v>29.75</v>
      </c>
      <c r="L24" s="62" t="n">
        <v>0.3500411813154489</v>
      </c>
      <c r="M24" s="63" t="n">
        <v>65</v>
      </c>
      <c r="N24" s="32" t="inlineStr">
        <is>
          <t>Active</t>
        </is>
      </c>
      <c r="O24" s="32" t="n"/>
      <c r="P24" s="64" t="n">
        <v>4.4</v>
      </c>
      <c r="Q24" s="63" t="n">
        <v>3153</v>
      </c>
      <c r="R24" s="63" t="n">
        <v>18049</v>
      </c>
      <c r="S24" s="63"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59" t="n">
        <v>94.98999999999999</v>
      </c>
      <c r="H25" s="32" t="inlineStr">
        <is>
          <t>Helium 10 Xray, 2026-10-13</t>
        </is>
      </c>
      <c r="I25" s="60" t="n">
        <v>84.98999999999999</v>
      </c>
      <c r="J25" s="61" t="inlineStr">
        <is>
          <t>2026-03-30</t>
        </is>
      </c>
      <c r="K25" s="33" t="n">
        <v>35.26</v>
      </c>
      <c r="L25" s="62" t="n">
        <v>0.4148723379221085</v>
      </c>
      <c r="M25" s="63" t="n">
        <v>65</v>
      </c>
      <c r="N25" s="32" t="inlineStr">
        <is>
          <t>Active</t>
        </is>
      </c>
      <c r="O25" s="32" t="n"/>
      <c r="P25" s="64" t="n">
        <v>4.4</v>
      </c>
      <c r="Q25" s="63" t="n">
        <v>3153</v>
      </c>
      <c r="R25" s="63" t="n">
        <v>18049</v>
      </c>
      <c r="S25" s="63"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59" t="n">
        <v>99.98999999999999</v>
      </c>
      <c r="H26" s="32" t="inlineStr">
        <is>
          <t>Helium 10 Xray, 2026-10-13</t>
        </is>
      </c>
      <c r="I26" s="60" t="n">
        <v>89.98999999999999</v>
      </c>
      <c r="J26" s="61" t="inlineStr">
        <is>
          <t>2026-03-30</t>
        </is>
      </c>
      <c r="K26" s="33" t="n">
        <v>34.98</v>
      </c>
      <c r="L26" s="62" t="n">
        <v>0.388709856650739</v>
      </c>
      <c r="M26" s="63" t="n">
        <v>62</v>
      </c>
      <c r="N26" s="32" t="inlineStr">
        <is>
          <t>Active</t>
        </is>
      </c>
      <c r="O26" s="32" t="n"/>
      <c r="P26" s="64" t="n">
        <v>4.4</v>
      </c>
      <c r="Q26" s="63" t="n">
        <v>3153</v>
      </c>
      <c r="R26" s="63" t="n">
        <v>18049</v>
      </c>
      <c r="S26" s="63"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59" t="n">
        <v>94.98999999999999</v>
      </c>
      <c r="H27" s="32" t="inlineStr">
        <is>
          <t>Helium 10 Xray, 2026-10-13</t>
        </is>
      </c>
      <c r="I27" s="60" t="n">
        <v>84.98999999999999</v>
      </c>
      <c r="J27" s="61" t="inlineStr">
        <is>
          <t>2026-03-30</t>
        </is>
      </c>
      <c r="K27" s="33" t="n">
        <v>36.01999999999999</v>
      </c>
      <c r="L27" s="62" t="n">
        <v>0.4238145664195787</v>
      </c>
      <c r="M27" s="63" t="n">
        <v>59</v>
      </c>
      <c r="N27" s="32" t="inlineStr">
        <is>
          <t>Active</t>
        </is>
      </c>
      <c r="O27" s="32" t="n"/>
      <c r="P27" s="64" t="n">
        <v>4.4</v>
      </c>
      <c r="Q27" s="63" t="n">
        <v>3153</v>
      </c>
      <c r="R27" s="63" t="n">
        <v>18049</v>
      </c>
      <c r="S27" s="63"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59" t="n">
        <v>99.98999999999999</v>
      </c>
      <c r="H28" s="32" t="inlineStr">
        <is>
          <t>Helium 10 Xray, 2026-10-13</t>
        </is>
      </c>
      <c r="I28" s="60" t="n">
        <v>110.99</v>
      </c>
      <c r="J28" s="61" t="inlineStr">
        <is>
          <t>2026-03-30</t>
        </is>
      </c>
      <c r="K28" s="33" t="n">
        <v>52.7</v>
      </c>
      <c r="L28" s="62" t="n">
        <v>0.4748175511307325</v>
      </c>
      <c r="M28" s="63" t="n">
        <v>54</v>
      </c>
      <c r="N28" s="32" t="inlineStr">
        <is>
          <t>Active</t>
        </is>
      </c>
      <c r="O28" s="32" t="n"/>
      <c r="P28" s="64" t="n">
        <v>4.4</v>
      </c>
      <c r="Q28" s="63" t="n">
        <v>3153</v>
      </c>
      <c r="R28" s="63" t="n">
        <v>18049</v>
      </c>
      <c r="S28" s="63"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59" t="n">
        <v>99.98999999999999</v>
      </c>
      <c r="H29" s="32" t="inlineStr">
        <is>
          <t>Helium 10 Xray, 2026-10-13</t>
        </is>
      </c>
      <c r="I29" s="60" t="n">
        <v>89.98999999999999</v>
      </c>
      <c r="J29" s="61" t="inlineStr">
        <is>
          <t>2026-03-30</t>
        </is>
      </c>
      <c r="K29" s="33" t="n">
        <v>34.29</v>
      </c>
      <c r="L29" s="62" t="n">
        <v>0.3810423380375598</v>
      </c>
      <c r="M29" s="63" t="n">
        <v>47</v>
      </c>
      <c r="N29" s="32" t="n"/>
      <c r="O29" s="32" t="n"/>
      <c r="P29" s="64" t="n">
        <v>4.4</v>
      </c>
      <c r="Q29" s="63" t="n">
        <v>3153</v>
      </c>
      <c r="R29" s="63" t="n">
        <v>18045</v>
      </c>
      <c r="S29" s="63"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59" t="n">
        <v>99.98999999999999</v>
      </c>
      <c r="H30" s="32" t="inlineStr">
        <is>
          <t>Helium 10 Xray, 2026-10-13</t>
        </is>
      </c>
      <c r="I30" s="33" t="n"/>
      <c r="J30" s="32" t="n"/>
      <c r="K30" s="33" t="n"/>
      <c r="L30" s="62" t="n"/>
      <c r="M30" s="63" t="n">
        <v>47</v>
      </c>
      <c r="N30" s="32" t="inlineStr">
        <is>
          <t>Active</t>
        </is>
      </c>
      <c r="O30" s="32" t="n"/>
      <c r="P30" s="64" t="n">
        <v>4.4</v>
      </c>
      <c r="Q30" s="63" t="n">
        <v>3153</v>
      </c>
      <c r="R30" s="63" t="n">
        <v>18049</v>
      </c>
      <c r="S30" s="63"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59" t="n">
        <v>111.99</v>
      </c>
      <c r="H31" s="32" t="inlineStr">
        <is>
          <t>Helium 10 Xray, 2026-10-13</t>
        </is>
      </c>
      <c r="I31" s="60" t="n">
        <v>89.98999999999999</v>
      </c>
      <c r="J31" s="61" t="inlineStr">
        <is>
          <t>2026-03-30</t>
        </is>
      </c>
      <c r="K31" s="33" t="n">
        <v>33.08</v>
      </c>
      <c r="L31" s="62" t="n">
        <v>0.3675963995999555</v>
      </c>
      <c r="M31" s="63" t="n">
        <v>47</v>
      </c>
      <c r="N31" s="32" t="inlineStr">
        <is>
          <t>Active</t>
        </is>
      </c>
      <c r="O31" s="32" t="n"/>
      <c r="P31" s="64" t="n">
        <v>4.4</v>
      </c>
      <c r="Q31" s="63" t="n">
        <v>3153</v>
      </c>
      <c r="R31" s="63" t="n">
        <v>18045</v>
      </c>
      <c r="S31" s="63"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59" t="n">
        <v>100.99</v>
      </c>
      <c r="H32" s="32" t="inlineStr">
        <is>
          <t>Helium 10 Xray, 2026-10-13</t>
        </is>
      </c>
      <c r="I32" s="60" t="n">
        <v>84.98999999999999</v>
      </c>
      <c r="J32" s="61" t="inlineStr">
        <is>
          <t>2026-03-30</t>
        </is>
      </c>
      <c r="K32" s="33" t="n">
        <v>36.48</v>
      </c>
      <c r="L32" s="62" t="n">
        <v>0.429226967878574</v>
      </c>
      <c r="M32" s="63" t="n">
        <v>47</v>
      </c>
      <c r="N32" s="32" t="inlineStr">
        <is>
          <t>Active</t>
        </is>
      </c>
      <c r="O32" s="32" t="n"/>
      <c r="P32" s="64" t="n">
        <v>4.4</v>
      </c>
      <c r="Q32" s="63" t="n">
        <v>3153</v>
      </c>
      <c r="R32" s="63" t="n">
        <v>18049</v>
      </c>
      <c r="S32" s="63"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59" t="n">
        <v>99.98999999999999</v>
      </c>
      <c r="H33" s="32" t="inlineStr">
        <is>
          <t>Helium 10 Xray, 2026-10-13</t>
        </is>
      </c>
      <c r="I33" s="60" t="n">
        <v>89.98999999999999</v>
      </c>
      <c r="J33" s="61" t="inlineStr">
        <is>
          <t>2026-03-30</t>
        </is>
      </c>
      <c r="K33" s="33" t="n">
        <v>33.68</v>
      </c>
      <c r="L33" s="62" t="n">
        <v>0.3742638070896767</v>
      </c>
      <c r="M33" s="63" t="n">
        <v>41</v>
      </c>
      <c r="N33" s="32" t="inlineStr">
        <is>
          <t>Active</t>
        </is>
      </c>
      <c r="O33" s="32" t="n"/>
      <c r="P33" s="64" t="n">
        <v>4.4</v>
      </c>
      <c r="Q33" s="63" t="n">
        <v>3153</v>
      </c>
      <c r="R33" s="63" t="n">
        <v>18045</v>
      </c>
      <c r="S33" s="63"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59" t="n">
        <v>100.99</v>
      </c>
      <c r="H34" s="32" t="inlineStr">
        <is>
          <t>Helium 10 Xray, 2026-10-13</t>
        </is>
      </c>
      <c r="I34" s="60" t="n">
        <v>84.98999999999999</v>
      </c>
      <c r="J34" s="61" t="inlineStr">
        <is>
          <t>2026-03-30</t>
        </is>
      </c>
      <c r="K34" s="33" t="n">
        <v>35.92</v>
      </c>
      <c r="L34" s="62" t="n">
        <v>0.4226379574067538</v>
      </c>
      <c r="M34" s="63" t="n">
        <v>41</v>
      </c>
      <c r="N34" s="32" t="inlineStr">
        <is>
          <t>Active</t>
        </is>
      </c>
      <c r="O34" s="32" t="n"/>
      <c r="P34" s="64" t="n">
        <v>4.4</v>
      </c>
      <c r="Q34" s="63" t="n">
        <v>3153</v>
      </c>
      <c r="R34" s="63" t="n">
        <v>18045</v>
      </c>
      <c r="S34" s="63"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59" t="n">
        <v>102.99</v>
      </c>
      <c r="H35" s="32" t="inlineStr">
        <is>
          <t>Helium 10 Xray, 2026-10-13</t>
        </is>
      </c>
      <c r="I35" s="60" t="n">
        <v>84.98999999999999</v>
      </c>
      <c r="J35" s="61" t="inlineStr">
        <is>
          <t>2026-03-30</t>
        </is>
      </c>
      <c r="K35" s="33" t="n">
        <v>35.77999999999999</v>
      </c>
      <c r="L35" s="62" t="n">
        <v>0.4209907047887987</v>
      </c>
      <c r="M35" s="63" t="n">
        <v>39</v>
      </c>
      <c r="N35" s="32" t="inlineStr">
        <is>
          <t>Active</t>
        </is>
      </c>
      <c r="O35" s="32" t="n"/>
      <c r="P35" s="64" t="n">
        <v>4.4</v>
      </c>
      <c r="Q35" s="63" t="n">
        <v>3153</v>
      </c>
      <c r="R35" s="63" t="n">
        <v>18049</v>
      </c>
      <c r="S35" s="63"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59" t="n">
        <v>94.98999999999999</v>
      </c>
      <c r="H36" s="32" t="inlineStr">
        <is>
          <t>Helium 10 Xray, 2026-10-13</t>
        </is>
      </c>
      <c r="I36" s="60" t="n">
        <v>84.98999999999999</v>
      </c>
      <c r="J36" s="61" t="inlineStr">
        <is>
          <t>2026-03-30</t>
        </is>
      </c>
      <c r="K36" s="33" t="n">
        <v>36.53999999999999</v>
      </c>
      <c r="L36" s="62" t="n">
        <v>0.4299329332862689</v>
      </c>
      <c r="M36" s="63" t="n">
        <v>34</v>
      </c>
      <c r="N36" s="32" t="inlineStr">
        <is>
          <t>Active</t>
        </is>
      </c>
      <c r="O36" s="32" t="n"/>
      <c r="P36" s="64" t="n">
        <v>4.4</v>
      </c>
      <c r="Q36" s="63" t="n">
        <v>3153</v>
      </c>
      <c r="R36" s="63" t="n">
        <v>18049</v>
      </c>
      <c r="S36" s="63"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59" t="n">
        <v>79.98999999999999</v>
      </c>
      <c r="H37" s="32" t="inlineStr">
        <is>
          <t>Helium 10 Xray, 2026-10-13</t>
        </is>
      </c>
      <c r="I37" s="60" t="n">
        <v>74.98999999999999</v>
      </c>
      <c r="J37" s="61" t="inlineStr">
        <is>
          <t>2026-03-30</t>
        </is>
      </c>
      <c r="K37" s="33" t="n">
        <v>30.02999999999999</v>
      </c>
      <c r="L37" s="62" t="n">
        <v>0.4004533937858381</v>
      </c>
      <c r="M37" s="63" t="n">
        <v>29</v>
      </c>
      <c r="N37" s="32" t="inlineStr">
        <is>
          <t>Active</t>
        </is>
      </c>
      <c r="O37" s="32" t="n"/>
      <c r="P37" s="64" t="n">
        <v>4.4</v>
      </c>
      <c r="Q37" s="63" t="n">
        <v>3153</v>
      </c>
      <c r="R37" s="63" t="n">
        <v>18045</v>
      </c>
      <c r="S37" s="63"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59" t="n">
        <v>99.98999999999999</v>
      </c>
      <c r="H38" s="32" t="inlineStr">
        <is>
          <t>Helium 10 Xray, 2026-10-13</t>
        </is>
      </c>
      <c r="I38" s="60" t="n">
        <v>89.98999999999999</v>
      </c>
      <c r="J38" s="61" t="inlineStr">
        <is>
          <t>2026-03-30</t>
        </is>
      </c>
      <c r="K38" s="33" t="n">
        <v>35.32</v>
      </c>
      <c r="L38" s="62" t="n">
        <v>0.3924880542282476</v>
      </c>
      <c r="M38" s="63" t="n">
        <v>29</v>
      </c>
      <c r="N38" s="32" t="inlineStr">
        <is>
          <t>Active</t>
        </is>
      </c>
      <c r="O38" s="32" t="n"/>
      <c r="P38" s="64" t="n">
        <v>4.4</v>
      </c>
      <c r="Q38" s="63" t="n">
        <v>3153</v>
      </c>
      <c r="R38" s="63" t="n">
        <v>18049</v>
      </c>
      <c r="S38" s="63"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59" t="n">
        <v>99.98999999999999</v>
      </c>
      <c r="H39" s="32" t="inlineStr">
        <is>
          <t>Helium 10 Xray, 2026-10-13</t>
        </is>
      </c>
      <c r="I39" s="60" t="n">
        <v>89.98999999999999</v>
      </c>
      <c r="J39" s="61" t="inlineStr">
        <is>
          <t>2026-03-30</t>
        </is>
      </c>
      <c r="K39" s="33" t="n">
        <v>34.23999999999999</v>
      </c>
      <c r="L39" s="62" t="n">
        <v>0.3804867207467496</v>
      </c>
      <c r="M39" s="63" t="n">
        <v>28</v>
      </c>
      <c r="N39" s="32" t="inlineStr">
        <is>
          <t>Active</t>
        </is>
      </c>
      <c r="O39" s="32" t="n"/>
      <c r="P39" s="64" t="n">
        <v>4.4</v>
      </c>
      <c r="Q39" s="63" t="n">
        <v>3153</v>
      </c>
      <c r="R39" s="63" t="n">
        <v>18045</v>
      </c>
      <c r="S39" s="63"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59" t="n">
        <v>79.98999999999999</v>
      </c>
      <c r="H40" s="32" t="inlineStr">
        <is>
          <t>Helium 10 Xray, 2026-10-13</t>
        </is>
      </c>
      <c r="I40" s="60" t="n">
        <v>74.98999999999999</v>
      </c>
      <c r="J40" s="61" t="inlineStr">
        <is>
          <t>2026-03-30</t>
        </is>
      </c>
      <c r="K40" s="33" t="n">
        <v>30.44999999999999</v>
      </c>
      <c r="L40" s="62" t="n">
        <v>0.4060541405520735</v>
      </c>
      <c r="M40" s="63" t="n">
        <v>27</v>
      </c>
      <c r="N40" s="32" t="inlineStr">
        <is>
          <t>Active</t>
        </is>
      </c>
      <c r="O40" s="32" t="n"/>
      <c r="P40" s="64" t="n">
        <v>4.4</v>
      </c>
      <c r="Q40" s="63" t="n">
        <v>3153</v>
      </c>
      <c r="R40" s="63" t="n">
        <v>18049</v>
      </c>
      <c r="S40" s="63"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0" t="n">
        <v>89.98999999999999</v>
      </c>
      <c r="J41" s="61" t="inlineStr">
        <is>
          <t>2026-03-28</t>
        </is>
      </c>
      <c r="K41" s="33" t="n">
        <v>34.68</v>
      </c>
      <c r="L41" s="62" t="n">
        <v>0.3853761529058785</v>
      </c>
      <c r="M41" s="63" t="n">
        <v>27</v>
      </c>
      <c r="N41" s="32" t="inlineStr">
        <is>
          <t>Inactive</t>
        </is>
      </c>
      <c r="O41" s="32" t="n"/>
      <c r="P41" s="64" t="n"/>
      <c r="Q41" s="63" t="n"/>
      <c r="R41" s="63" t="n"/>
      <c r="S41" s="63"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59" t="n">
        <v>99.98999999999999</v>
      </c>
      <c r="H42" s="32" t="inlineStr">
        <is>
          <t>Helium 10 Xray, 2026-10-13</t>
        </is>
      </c>
      <c r="I42" s="60" t="n">
        <v>89.98999999999999</v>
      </c>
      <c r="J42" s="61" t="inlineStr">
        <is>
          <t>2026-03-12</t>
        </is>
      </c>
      <c r="K42" s="33" t="n">
        <v>35.14</v>
      </c>
      <c r="L42" s="62" t="n">
        <v>0.3904878319813313</v>
      </c>
      <c r="M42" s="63" t="n">
        <v>25</v>
      </c>
      <c r="N42" s="32" t="inlineStr">
        <is>
          <t>Active</t>
        </is>
      </c>
      <c r="O42" s="32" t="n"/>
      <c r="P42" s="64" t="n">
        <v>4.4</v>
      </c>
      <c r="Q42" s="63" t="n">
        <v>3153</v>
      </c>
      <c r="R42" s="63" t="n">
        <v>18045</v>
      </c>
      <c r="S42" s="63"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59" t="n">
        <v>94.98999999999999</v>
      </c>
      <c r="H43" s="32" t="inlineStr">
        <is>
          <t>Helium 10 Xray, 2026-10-13</t>
        </is>
      </c>
      <c r="I43" s="60" t="n">
        <v>84.98999999999999</v>
      </c>
      <c r="J43" s="61" t="inlineStr">
        <is>
          <t>2026-03-30</t>
        </is>
      </c>
      <c r="K43" s="33" t="n">
        <v>36.17999999999999</v>
      </c>
      <c r="L43" s="62" t="n">
        <v>0.4256971408400988</v>
      </c>
      <c r="M43" s="63" t="n">
        <v>25</v>
      </c>
      <c r="N43" s="32" t="inlineStr">
        <is>
          <t>Active</t>
        </is>
      </c>
      <c r="O43" s="32" t="n"/>
      <c r="P43" s="64" t="n">
        <v>4.4</v>
      </c>
      <c r="Q43" s="63" t="n">
        <v>3153</v>
      </c>
      <c r="R43" s="63" t="n">
        <v>18045</v>
      </c>
      <c r="S43" s="63"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59" t="n">
        <v>108.99</v>
      </c>
      <c r="H44" s="32" t="inlineStr">
        <is>
          <t>Helium 10 Xray, 2026-10-13</t>
        </is>
      </c>
      <c r="I44" s="60" t="n">
        <v>84.98999999999999</v>
      </c>
      <c r="J44" s="61" t="inlineStr">
        <is>
          <t>2026-03-30</t>
        </is>
      </c>
      <c r="K44" s="33" t="n">
        <v>36.40999999999999</v>
      </c>
      <c r="L44" s="62" t="n">
        <v>0.4284033415695963</v>
      </c>
      <c r="M44" s="63" t="n">
        <v>24</v>
      </c>
      <c r="N44" s="32" t="inlineStr">
        <is>
          <t>Active</t>
        </is>
      </c>
      <c r="O44" s="32" t="n"/>
      <c r="P44" s="64" t="n">
        <v>4.4</v>
      </c>
      <c r="Q44" s="63" t="n">
        <v>3153</v>
      </c>
      <c r="R44" s="63" t="n">
        <v>18045</v>
      </c>
      <c r="S44" s="63"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59" t="n">
        <v>99.98999999999999</v>
      </c>
      <c r="H45" s="32" t="inlineStr">
        <is>
          <t>Helium 10 Xray, 2026-10-13</t>
        </is>
      </c>
      <c r="I45" s="60" t="n">
        <v>89.98999999999999</v>
      </c>
      <c r="J45" s="61" t="inlineStr">
        <is>
          <t>2026-03-30</t>
        </is>
      </c>
      <c r="K45" s="33" t="n">
        <v>34.09999999999999</v>
      </c>
      <c r="L45" s="62" t="n">
        <v>0.3789309923324813</v>
      </c>
      <c r="M45" s="63" t="n">
        <v>22</v>
      </c>
      <c r="N45" s="32" t="inlineStr">
        <is>
          <t>Active</t>
        </is>
      </c>
      <c r="O45" s="32" t="n"/>
      <c r="P45" s="64" t="n">
        <v>4.4</v>
      </c>
      <c r="Q45" s="63" t="n">
        <v>3153</v>
      </c>
      <c r="R45" s="63" t="n">
        <v>18045</v>
      </c>
      <c r="S45" s="63"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59" t="n">
        <v>114.99</v>
      </c>
      <c r="H46" s="32" t="inlineStr">
        <is>
          <t>Helium 10 Xray, 2026-10-13</t>
        </is>
      </c>
      <c r="I46" s="60" t="n">
        <v>89.98999999999999</v>
      </c>
      <c r="J46" s="61" t="inlineStr">
        <is>
          <t>2026-03-30</t>
        </is>
      </c>
      <c r="K46" s="33" t="n">
        <v>33.98999999999999</v>
      </c>
      <c r="L46" s="62" t="n">
        <v>0.3777086342926992</v>
      </c>
      <c r="M46" s="63" t="n">
        <v>20</v>
      </c>
      <c r="N46" s="32" t="inlineStr">
        <is>
          <t>Active</t>
        </is>
      </c>
      <c r="O46" s="32" t="n"/>
      <c r="P46" s="64" t="n">
        <v>4.4</v>
      </c>
      <c r="Q46" s="63" t="n">
        <v>3153</v>
      </c>
      <c r="R46" s="63" t="n">
        <v>18045</v>
      </c>
      <c r="S46" s="63"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59" t="n">
        <v>94.98999999999999</v>
      </c>
      <c r="H47" s="32" t="inlineStr">
        <is>
          <t>Helium 10 Xray, 2026-10-13</t>
        </is>
      </c>
      <c r="I47" s="60" t="n">
        <v>84.98999999999999</v>
      </c>
      <c r="J47" s="61" t="inlineStr">
        <is>
          <t>2026-03-30</t>
        </is>
      </c>
      <c r="K47" s="33" t="n">
        <v>35.20999999999999</v>
      </c>
      <c r="L47" s="62" t="n">
        <v>0.4142840334156959</v>
      </c>
      <c r="M47" s="63" t="n">
        <v>20</v>
      </c>
      <c r="N47" s="32" t="inlineStr">
        <is>
          <t>Active</t>
        </is>
      </c>
      <c r="O47" s="32" t="n"/>
      <c r="P47" s="64" t="n">
        <v>4.4</v>
      </c>
      <c r="Q47" s="63" t="n">
        <v>3153</v>
      </c>
      <c r="R47" s="63" t="n">
        <v>18049</v>
      </c>
      <c r="S47" s="63"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59" t="n">
        <v>99.98999999999999</v>
      </c>
      <c r="H48" s="32" t="inlineStr">
        <is>
          <t>Helium 10 Xray, 2026-10-13</t>
        </is>
      </c>
      <c r="I48" s="60" t="n">
        <v>110.99</v>
      </c>
      <c r="J48" s="61" t="inlineStr">
        <is>
          <t>2026-03-28</t>
        </is>
      </c>
      <c r="K48" s="33" t="n">
        <v>51.69</v>
      </c>
      <c r="L48" s="62" t="n">
        <v>0.4657176322191189</v>
      </c>
      <c r="M48" s="63" t="n">
        <v>16</v>
      </c>
      <c r="N48" s="32" t="inlineStr">
        <is>
          <t>Active</t>
        </is>
      </c>
      <c r="O48" s="32" t="n"/>
      <c r="P48" s="64" t="n">
        <v>4.4</v>
      </c>
      <c r="Q48" s="63" t="n">
        <v>3153</v>
      </c>
      <c r="R48" s="63" t="n">
        <v>18049</v>
      </c>
      <c r="S48" s="63"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59" t="n">
        <v>99.98999999999999</v>
      </c>
      <c r="H49" s="32" t="inlineStr">
        <is>
          <t>Helium 10 Xray, 2026-10-13</t>
        </is>
      </c>
      <c r="I49" s="60" t="n">
        <v>89.98999999999999</v>
      </c>
      <c r="J49" s="61" t="inlineStr">
        <is>
          <t>2026-03-12</t>
        </is>
      </c>
      <c r="K49" s="33" t="n">
        <v>34.23</v>
      </c>
      <c r="L49" s="62" t="n">
        <v>0.3803755972885876</v>
      </c>
      <c r="M49" s="63" t="n">
        <v>16</v>
      </c>
      <c r="N49" s="32" t="inlineStr">
        <is>
          <t>Active</t>
        </is>
      </c>
      <c r="O49" s="32" t="n"/>
      <c r="P49" s="64" t="n">
        <v>4.4</v>
      </c>
      <c r="Q49" s="63" t="n">
        <v>3153</v>
      </c>
      <c r="R49" s="63" t="n">
        <v>18045</v>
      </c>
      <c r="S49" s="63"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59" t="n">
        <v>79.98999999999999</v>
      </c>
      <c r="H50" s="32" t="inlineStr">
        <is>
          <t>Helium 10 Xray, 2026-10-13</t>
        </is>
      </c>
      <c r="I50" s="60" t="n">
        <v>74.98999999999999</v>
      </c>
      <c r="J50" s="61" t="inlineStr">
        <is>
          <t>2026-03-30</t>
        </is>
      </c>
      <c r="K50" s="33" t="n">
        <v>29.95</v>
      </c>
      <c r="L50" s="62" t="n">
        <v>0.3993865848779837</v>
      </c>
      <c r="M50" s="63" t="n">
        <v>14</v>
      </c>
      <c r="N50" s="32" t="inlineStr">
        <is>
          <t>Active</t>
        </is>
      </c>
      <c r="O50" s="32" t="n"/>
      <c r="P50" s="64" t="n">
        <v>4.4</v>
      </c>
      <c r="Q50" s="63" t="n">
        <v>3153</v>
      </c>
      <c r="R50" s="63" t="n">
        <v>18049</v>
      </c>
      <c r="S50" s="63"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59" t="n">
        <v>74.98999999999999</v>
      </c>
      <c r="H51" s="32" t="inlineStr">
        <is>
          <t>Helium 10 Xray, 2026-10-13</t>
        </is>
      </c>
      <c r="I51" s="60" t="n">
        <v>74.98999999999999</v>
      </c>
      <c r="J51" s="61" t="inlineStr">
        <is>
          <t>2026-03-30</t>
        </is>
      </c>
      <c r="K51" s="33" t="n">
        <v>30.07</v>
      </c>
      <c r="L51" s="62" t="n">
        <v>0.4009867982397653</v>
      </c>
      <c r="M51" s="63" t="n">
        <v>13</v>
      </c>
      <c r="N51" s="32" t="inlineStr">
        <is>
          <t>Inactive</t>
        </is>
      </c>
      <c r="O51" s="32" t="n"/>
      <c r="P51" s="64" t="n">
        <v>4.4</v>
      </c>
      <c r="Q51" s="63" t="n">
        <v>3153</v>
      </c>
      <c r="R51" s="63" t="n">
        <v>18045</v>
      </c>
      <c r="S51" s="63"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59" t="n">
        <v>99.98999999999999</v>
      </c>
      <c r="H52" s="32" t="inlineStr">
        <is>
          <t>Helium 10 Xray, 2026-10-13</t>
        </is>
      </c>
      <c r="I52" s="60" t="n">
        <v>89.98999999999999</v>
      </c>
      <c r="J52" s="61" t="inlineStr">
        <is>
          <t>2026-03-30</t>
        </is>
      </c>
      <c r="K52" s="33" t="n">
        <v>32.63</v>
      </c>
      <c r="L52" s="62" t="n">
        <v>0.3625958439826647</v>
      </c>
      <c r="M52" s="63" t="n">
        <v>11</v>
      </c>
      <c r="N52" s="32" t="inlineStr">
        <is>
          <t>Active</t>
        </is>
      </c>
      <c r="O52" s="32" t="n"/>
      <c r="P52" s="64" t="n">
        <v>4.4</v>
      </c>
      <c r="Q52" s="63" t="n">
        <v>3153</v>
      </c>
      <c r="R52" s="63" t="n">
        <v>18045</v>
      </c>
      <c r="S52" s="63"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59" t="n">
        <v>94.98999999999999</v>
      </c>
      <c r="H53" s="32" t="inlineStr">
        <is>
          <t>Helium 10 Xray, 2026-10-13</t>
        </is>
      </c>
      <c r="I53" s="60" t="n">
        <v>84.98999999999999</v>
      </c>
      <c r="J53" s="61" t="inlineStr">
        <is>
          <t>2026-03-30</t>
        </is>
      </c>
      <c r="K53" s="33" t="n">
        <v>36.2</v>
      </c>
      <c r="L53" s="62" t="n">
        <v>0.4259324626426639</v>
      </c>
      <c r="M53" s="63" t="n">
        <v>10</v>
      </c>
      <c r="N53" s="32" t="inlineStr">
        <is>
          <t>Active</t>
        </is>
      </c>
      <c r="O53" s="32" t="n"/>
      <c r="P53" s="64" t="n">
        <v>4.4</v>
      </c>
      <c r="Q53" s="63" t="n">
        <v>3153</v>
      </c>
      <c r="R53" s="63" t="n">
        <v>18045</v>
      </c>
      <c r="S53" s="63"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59" t="n">
        <v>69.98999999999999</v>
      </c>
      <c r="H54" s="32" t="inlineStr">
        <is>
          <t>Helium 10 Xray, 2026-10-13</t>
        </is>
      </c>
      <c r="I54" s="60" t="n">
        <v>64.98999999999999</v>
      </c>
      <c r="J54" s="61" t="inlineStr">
        <is>
          <t>2026-03-30</t>
        </is>
      </c>
      <c r="K54" s="33" t="n">
        <v>27.68999999999999</v>
      </c>
      <c r="L54" s="62" t="n">
        <v>0.4260655485459301</v>
      </c>
      <c r="M54" s="63" t="n">
        <v>10</v>
      </c>
      <c r="N54" s="32" t="inlineStr">
        <is>
          <t>Active</t>
        </is>
      </c>
      <c r="O54" s="32" t="n"/>
      <c r="P54" s="64" t="n">
        <v>4.4</v>
      </c>
      <c r="Q54" s="63" t="n">
        <v>3153</v>
      </c>
      <c r="R54" s="63" t="n">
        <v>18045</v>
      </c>
      <c r="S54" s="63"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59" t="n">
        <v>79.98999999999999</v>
      </c>
      <c r="H55" s="32" t="inlineStr">
        <is>
          <t>Helium 10 Xray, 2026-10-13</t>
        </is>
      </c>
      <c r="I55" s="60" t="n">
        <v>69.98999999999999</v>
      </c>
      <c r="J55" s="61" t="inlineStr">
        <is>
          <t>2026-03-30</t>
        </is>
      </c>
      <c r="K55" s="33" t="n">
        <v>25.34999999999999</v>
      </c>
      <c r="L55" s="62" t="n">
        <v>0.3621945992284611</v>
      </c>
      <c r="M55" s="63" t="n">
        <v>9</v>
      </c>
      <c r="N55" s="32" t="inlineStr">
        <is>
          <t>Active</t>
        </is>
      </c>
      <c r="O55" s="32" t="n"/>
      <c r="P55" s="64" t="n">
        <v>4.4</v>
      </c>
      <c r="Q55" s="63" t="n">
        <v>3153</v>
      </c>
      <c r="R55" s="63" t="n">
        <v>18045</v>
      </c>
      <c r="S55" s="63"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59" t="n">
        <v>79.98999999999999</v>
      </c>
      <c r="H56" s="32" t="inlineStr">
        <is>
          <t>Helium 10 Xray, 2026-10-13</t>
        </is>
      </c>
      <c r="I56" s="60" t="n">
        <v>90.98999999999999</v>
      </c>
      <c r="J56" s="61" t="inlineStr">
        <is>
          <t>2026-03-30</t>
        </is>
      </c>
      <c r="K56" s="33" t="n">
        <v>44.08</v>
      </c>
      <c r="L56" s="62" t="n">
        <v>0.4844488405319266</v>
      </c>
      <c r="M56" s="63" t="n">
        <v>8</v>
      </c>
      <c r="N56" s="32" t="inlineStr">
        <is>
          <t>Active</t>
        </is>
      </c>
      <c r="O56" s="32" t="n"/>
      <c r="P56" s="64" t="n">
        <v>4.4</v>
      </c>
      <c r="Q56" s="63" t="n">
        <v>3153</v>
      </c>
      <c r="R56" s="63" t="n">
        <v>18049</v>
      </c>
      <c r="S56" s="63"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59" t="n">
        <v>69.98999999999999</v>
      </c>
      <c r="H57" s="32" t="inlineStr">
        <is>
          <t>Helium 10 Xray, 2026-10-13</t>
        </is>
      </c>
      <c r="I57" s="60" t="n">
        <v>79.98999999999999</v>
      </c>
      <c r="J57" s="61" t="inlineStr">
        <is>
          <t>2026-03-30</t>
        </is>
      </c>
      <c r="K57" s="33" t="n">
        <v>40.48</v>
      </c>
      <c r="L57" s="62" t="n">
        <v>0.5060632579072384</v>
      </c>
      <c r="M57" s="63" t="n">
        <v>8</v>
      </c>
      <c r="N57" s="32" t="inlineStr">
        <is>
          <t>Active</t>
        </is>
      </c>
      <c r="O57" s="32" t="n"/>
      <c r="P57" s="64" t="n">
        <v>4.4</v>
      </c>
      <c r="Q57" s="63" t="n">
        <v>3153</v>
      </c>
      <c r="R57" s="63" t="n">
        <v>18045</v>
      </c>
      <c r="S57" s="63"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59" t="n">
        <v>99.98999999999999</v>
      </c>
      <c r="H58" s="32" t="inlineStr">
        <is>
          <t>Helium 10 Xray, 2026-10-13</t>
        </is>
      </c>
      <c r="I58" s="60" t="n">
        <v>89.98999999999999</v>
      </c>
      <c r="J58" s="61" t="inlineStr">
        <is>
          <t>2026-03-26</t>
        </is>
      </c>
      <c r="K58" s="33" t="n">
        <v>35.11999999999999</v>
      </c>
      <c r="L58" s="62" t="n">
        <v>0.3902655850650071</v>
      </c>
      <c r="M58" s="63" t="n">
        <v>7</v>
      </c>
      <c r="N58" s="32" t="inlineStr">
        <is>
          <t>Active</t>
        </is>
      </c>
      <c r="O58" s="32" t="n"/>
      <c r="P58" s="64" t="n">
        <v>4.4</v>
      </c>
      <c r="Q58" s="63" t="n">
        <v>3153</v>
      </c>
      <c r="R58" s="63" t="n">
        <v>18045</v>
      </c>
      <c r="S58" s="63"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59" t="n">
        <v>99.98999999999999</v>
      </c>
      <c r="H59" s="32" t="inlineStr">
        <is>
          <t>Helium 10 Xray, 2026-10-13</t>
        </is>
      </c>
      <c r="I59" s="33" t="n"/>
      <c r="J59" s="32" t="n"/>
      <c r="K59" s="33" t="n"/>
      <c r="L59" s="62" t="n"/>
      <c r="M59" s="63" t="n">
        <v>6</v>
      </c>
      <c r="N59" s="32" t="inlineStr">
        <is>
          <t>Active</t>
        </is>
      </c>
      <c r="O59" s="32" t="n"/>
      <c r="P59" s="64" t="n">
        <v>4.4</v>
      </c>
      <c r="Q59" s="63" t="n">
        <v>3153</v>
      </c>
      <c r="R59" s="63" t="n">
        <v>18045</v>
      </c>
      <c r="S59" s="63"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59" t="n">
        <v>79.98999999999999</v>
      </c>
      <c r="H60" s="32" t="inlineStr">
        <is>
          <t>Helium 10 Xray, 2026-10-13</t>
        </is>
      </c>
      <c r="I60" s="60" t="n">
        <v>74.98999999999999</v>
      </c>
      <c r="J60" s="61" t="inlineStr">
        <is>
          <t>2026-03-30</t>
        </is>
      </c>
      <c r="K60" s="33" t="n">
        <v>29.19999999999999</v>
      </c>
      <c r="L60" s="62" t="n">
        <v>0.3893852513668488</v>
      </c>
      <c r="M60" s="63" t="n">
        <v>6</v>
      </c>
      <c r="N60" s="32" t="inlineStr">
        <is>
          <t>Active</t>
        </is>
      </c>
      <c r="O60" s="32" t="n"/>
      <c r="P60" s="64" t="n">
        <v>4.4</v>
      </c>
      <c r="Q60" s="63" t="n">
        <v>3153</v>
      </c>
      <c r="R60" s="63" t="n">
        <v>18049</v>
      </c>
      <c r="S60" s="63"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59" t="n">
        <v>69.98999999999999</v>
      </c>
      <c r="H61" s="32" t="inlineStr">
        <is>
          <t>Helium 10 Xray, 2026-10-13</t>
        </is>
      </c>
      <c r="I61" s="60" t="n">
        <v>64.98999999999999</v>
      </c>
      <c r="J61" s="61" t="inlineStr">
        <is>
          <t>2026-03-30</t>
        </is>
      </c>
      <c r="K61" s="33" t="n">
        <v>27.36999999999999</v>
      </c>
      <c r="L61" s="62" t="n">
        <v>0.421141714109863</v>
      </c>
      <c r="M61" s="63" t="n">
        <v>6</v>
      </c>
      <c r="N61" s="32" t="inlineStr">
        <is>
          <t>Active</t>
        </is>
      </c>
      <c r="O61" s="32" t="n"/>
      <c r="P61" s="64" t="n">
        <v>4.4</v>
      </c>
      <c r="Q61" s="63" t="n">
        <v>3153</v>
      </c>
      <c r="R61" s="63" t="n">
        <v>18045</v>
      </c>
      <c r="S61" s="63"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59" t="n">
        <v>99.98999999999999</v>
      </c>
      <c r="H62" s="32" t="inlineStr">
        <is>
          <t>Helium 10 Xray, 2026-10-13</t>
        </is>
      </c>
      <c r="I62" s="33" t="n"/>
      <c r="J62" s="32" t="n"/>
      <c r="K62" s="33" t="n"/>
      <c r="L62" s="62" t="n"/>
      <c r="M62" s="63" t="n">
        <v>5</v>
      </c>
      <c r="N62" s="32" t="inlineStr">
        <is>
          <t>Active</t>
        </is>
      </c>
      <c r="O62" s="32" t="n"/>
      <c r="P62" s="64" t="n">
        <v>4.4</v>
      </c>
      <c r="Q62" s="63" t="n">
        <v>3153</v>
      </c>
      <c r="R62" s="63" t="n">
        <v>18049</v>
      </c>
      <c r="S62" s="63"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59" t="n">
        <v>79.98999999999999</v>
      </c>
      <c r="H63" s="32" t="inlineStr">
        <is>
          <t>Helium 10 Xray, 2026-10-13</t>
        </is>
      </c>
      <c r="I63" s="60" t="n">
        <v>90.98999999999999</v>
      </c>
      <c r="J63" s="61" t="inlineStr">
        <is>
          <t>2026-03-30</t>
        </is>
      </c>
      <c r="K63" s="33" t="n">
        <v>43.61999999999999</v>
      </c>
      <c r="L63" s="62" t="n">
        <v>0.4793933399274645</v>
      </c>
      <c r="M63" s="63" t="n">
        <v>5</v>
      </c>
      <c r="N63" s="32" t="inlineStr">
        <is>
          <t>Active</t>
        </is>
      </c>
      <c r="O63" s="32" t="n"/>
      <c r="P63" s="64" t="n">
        <v>4.4</v>
      </c>
      <c r="Q63" s="63" t="n">
        <v>3153</v>
      </c>
      <c r="R63" s="63" t="n">
        <v>18049</v>
      </c>
      <c r="S63" s="63"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59" t="n">
        <v>69.98999999999999</v>
      </c>
      <c r="H64" s="32" t="inlineStr">
        <is>
          <t>Helium 10 Xray, 2026-10-13</t>
        </is>
      </c>
      <c r="I64" s="60" t="n">
        <v>84.98999999999999</v>
      </c>
      <c r="J64" s="61" t="inlineStr">
        <is>
          <t>2026-03-30</t>
        </is>
      </c>
      <c r="K64" s="33" t="n">
        <v>44.56999999999999</v>
      </c>
      <c r="L64" s="62" t="n">
        <v>0.5244146370161195</v>
      </c>
      <c r="M64" s="63" t="n">
        <v>5</v>
      </c>
      <c r="N64" s="32" t="inlineStr">
        <is>
          <t>Active</t>
        </is>
      </c>
      <c r="O64" s="32" t="n"/>
      <c r="P64" s="64" t="n">
        <v>4.4</v>
      </c>
      <c r="Q64" s="63" t="n">
        <v>3153</v>
      </c>
      <c r="R64" s="63" t="n">
        <v>18049</v>
      </c>
      <c r="S64" s="63"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59" t="n">
        <v>99.98999999999999</v>
      </c>
      <c r="H65" s="32" t="inlineStr">
        <is>
          <t>Helium 10 Xray, 2026-10-13</t>
        </is>
      </c>
      <c r="I65" s="33" t="n"/>
      <c r="J65" s="32" t="n"/>
      <c r="K65" s="33" t="n"/>
      <c r="L65" s="62" t="n"/>
      <c r="M65" s="63" t="n">
        <v>4</v>
      </c>
      <c r="N65" s="32" t="inlineStr">
        <is>
          <t>Active</t>
        </is>
      </c>
      <c r="O65" s="32" t="n"/>
      <c r="P65" s="64" t="n">
        <v>4.4</v>
      </c>
      <c r="Q65" s="63" t="n">
        <v>3153</v>
      </c>
      <c r="R65" s="63" t="n">
        <v>18045</v>
      </c>
      <c r="S65" s="63"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59" t="n">
        <v>79.98999999999999</v>
      </c>
      <c r="H66" s="32" t="inlineStr">
        <is>
          <t>Helium 10 Xray, 2026-10-13</t>
        </is>
      </c>
      <c r="I66" s="60" t="n">
        <v>74.98999999999999</v>
      </c>
      <c r="J66" s="61" t="inlineStr">
        <is>
          <t>2026-03-30</t>
        </is>
      </c>
      <c r="K66" s="33" t="n">
        <v>30.00999999999999</v>
      </c>
      <c r="L66" s="62" t="n">
        <v>0.4001866915588745</v>
      </c>
      <c r="M66" s="63" t="n">
        <v>4</v>
      </c>
      <c r="N66" s="32" t="inlineStr">
        <is>
          <t>Active</t>
        </is>
      </c>
      <c r="O66" s="32" t="n"/>
      <c r="P66" s="64" t="n">
        <v>4.4</v>
      </c>
      <c r="Q66" s="63" t="n">
        <v>3153</v>
      </c>
      <c r="R66" s="63" t="n">
        <v>18045</v>
      </c>
      <c r="S66" s="63"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59" t="n">
        <v>79.98999999999999</v>
      </c>
      <c r="H67" s="32" t="inlineStr">
        <is>
          <t>Helium 10 Xray, 2026-10-13</t>
        </is>
      </c>
      <c r="I67" s="60" t="n">
        <v>74.98999999999999</v>
      </c>
      <c r="J67" s="61" t="inlineStr">
        <is>
          <t>2026-03-30</t>
        </is>
      </c>
      <c r="K67" s="33" t="n">
        <v>29.87999999999999</v>
      </c>
      <c r="L67" s="62" t="n">
        <v>0.3984531270836111</v>
      </c>
      <c r="M67" s="63" t="n">
        <v>4</v>
      </c>
      <c r="N67" s="32" t="inlineStr">
        <is>
          <t>Active</t>
        </is>
      </c>
      <c r="O67" s="32" t="n"/>
      <c r="P67" s="64" t="n">
        <v>4.4</v>
      </c>
      <c r="Q67" s="63" t="n">
        <v>3153</v>
      </c>
      <c r="R67" s="63" t="n">
        <v>18045</v>
      </c>
      <c r="S67" s="63"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59" t="n">
        <v>89.98999999999999</v>
      </c>
      <c r="H68" s="32" t="inlineStr">
        <is>
          <t>Helium 10 Xray, 2026-10-13</t>
        </is>
      </c>
      <c r="I68" s="60" t="n">
        <v>89.98999999999999</v>
      </c>
      <c r="J68" s="61" t="inlineStr">
        <is>
          <t>2026-03-30</t>
        </is>
      </c>
      <c r="K68" s="33" t="n">
        <v>34.76</v>
      </c>
      <c r="L68" s="62" t="n">
        <v>0.3862651405711746</v>
      </c>
      <c r="M68" s="63" t="n">
        <v>4</v>
      </c>
      <c r="N68" s="32" t="inlineStr">
        <is>
          <t>Active</t>
        </is>
      </c>
      <c r="O68" s="32" t="n"/>
      <c r="P68" s="64" t="n">
        <v>4.4</v>
      </c>
      <c r="Q68" s="63" t="n">
        <v>3153</v>
      </c>
      <c r="R68" s="63" t="n">
        <v>18049</v>
      </c>
      <c r="S68" s="63"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59" t="n">
        <v>69.98999999999999</v>
      </c>
      <c r="H69" s="32" t="inlineStr">
        <is>
          <t>Helium 10 Xray, 2026-10-13</t>
        </is>
      </c>
      <c r="I69" s="33" t="n"/>
      <c r="J69" s="32" t="n"/>
      <c r="K69" s="33" t="n"/>
      <c r="L69" s="62" t="n"/>
      <c r="M69" s="63" t="n">
        <v>4</v>
      </c>
      <c r="N69" s="32" t="inlineStr">
        <is>
          <t>Active</t>
        </is>
      </c>
      <c r="O69" s="32" t="n"/>
      <c r="P69" s="64" t="n">
        <v>4.4</v>
      </c>
      <c r="Q69" s="63" t="n">
        <v>3153</v>
      </c>
      <c r="R69" s="63" t="n">
        <v>18045</v>
      </c>
      <c r="S69" s="63"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59" t="n">
        <v>99.98999999999999</v>
      </c>
      <c r="H70" s="32" t="inlineStr">
        <is>
          <t>Helium 10 Xray, 2026-10-13</t>
        </is>
      </c>
      <c r="I70" s="60" t="n">
        <v>89.98999999999999</v>
      </c>
      <c r="J70" s="61" t="inlineStr">
        <is>
          <t>2026-03-30</t>
        </is>
      </c>
      <c r="K70" s="33" t="n">
        <v>34.08999999999999</v>
      </c>
      <c r="L70" s="62" t="n">
        <v>0.3788198688743193</v>
      </c>
      <c r="M70" s="63" t="n">
        <v>3</v>
      </c>
      <c r="N70" s="32" t="inlineStr">
        <is>
          <t>Active</t>
        </is>
      </c>
      <c r="O70" s="32" t="n"/>
      <c r="P70" s="64" t="n">
        <v>4.4</v>
      </c>
      <c r="Q70" s="63" t="n">
        <v>3153</v>
      </c>
      <c r="R70" s="63" t="n">
        <v>18049</v>
      </c>
      <c r="S70" s="63"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59" t="n">
        <v>69.98999999999999</v>
      </c>
      <c r="H71" s="32" t="inlineStr">
        <is>
          <t>Helium 10 Xray, 2026-10-13</t>
        </is>
      </c>
      <c r="I71" s="60" t="n">
        <v>64.98999999999999</v>
      </c>
      <c r="J71" s="61" t="inlineStr">
        <is>
          <t>2026-03-30</t>
        </is>
      </c>
      <c r="K71" s="33" t="n">
        <v>28.18</v>
      </c>
      <c r="L71" s="62" t="n">
        <v>0.4336051700261578</v>
      </c>
      <c r="M71" s="63" t="n">
        <v>3</v>
      </c>
      <c r="N71" s="32" t="inlineStr">
        <is>
          <t>Active</t>
        </is>
      </c>
      <c r="O71" s="32" t="n"/>
      <c r="P71" s="64" t="n">
        <v>4.4</v>
      </c>
      <c r="Q71" s="63" t="n">
        <v>3153</v>
      </c>
      <c r="R71" s="63" t="n">
        <v>18045</v>
      </c>
      <c r="S71" s="63"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0" t="n">
        <v>89.98999999999999</v>
      </c>
      <c r="J72" s="61" t="inlineStr">
        <is>
          <t>2026-03-30</t>
        </is>
      </c>
      <c r="K72" s="33" t="n">
        <v>34.93999999999999</v>
      </c>
      <c r="L72" s="62" t="n">
        <v>0.3882653628180908</v>
      </c>
      <c r="M72" s="63" t="n">
        <v>2</v>
      </c>
      <c r="N72" s="32" t="inlineStr">
        <is>
          <t>Inactive</t>
        </is>
      </c>
      <c r="O72" s="32" t="n"/>
      <c r="P72" s="64" t="n"/>
      <c r="Q72" s="63" t="n"/>
      <c r="R72" s="63" t="n"/>
      <c r="S72" s="63"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59" t="n">
        <v>69.98999999999999</v>
      </c>
      <c r="H73" s="32" t="inlineStr">
        <is>
          <t>Helium 10 Xray, 2026-10-13</t>
        </is>
      </c>
      <c r="I73" s="60" t="n">
        <v>64.98999999999999</v>
      </c>
      <c r="J73" s="61" t="inlineStr">
        <is>
          <t>2026-03-30</t>
        </is>
      </c>
      <c r="K73" s="33" t="n">
        <v>27.94999999999999</v>
      </c>
      <c r="L73" s="62" t="n">
        <v>0.4300661640252346</v>
      </c>
      <c r="M73" s="63" t="n">
        <v>2</v>
      </c>
      <c r="N73" s="32" t="inlineStr">
        <is>
          <t>Active</t>
        </is>
      </c>
      <c r="O73" s="32" t="n"/>
      <c r="P73" s="64" t="n">
        <v>4.4</v>
      </c>
      <c r="Q73" s="63" t="n">
        <v>3153</v>
      </c>
      <c r="R73" s="63" t="n">
        <v>18049</v>
      </c>
      <c r="S73" s="63"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59" t="n">
        <v>69.98999999999999</v>
      </c>
      <c r="H74" s="32" t="inlineStr">
        <is>
          <t>Helium 10 Xray, 2026-10-13</t>
        </is>
      </c>
      <c r="I74" s="60" t="n">
        <v>64.98999999999999</v>
      </c>
      <c r="J74" s="61" t="inlineStr">
        <is>
          <t>2026-03-30</t>
        </is>
      </c>
      <c r="K74" s="33" t="n">
        <v>27.36</v>
      </c>
      <c r="L74" s="62" t="n">
        <v>0.4209878442837359</v>
      </c>
      <c r="M74" s="63" t="n">
        <v>2</v>
      </c>
      <c r="N74" s="32" t="inlineStr">
        <is>
          <t>Active</t>
        </is>
      </c>
      <c r="O74" s="32" t="n"/>
      <c r="P74" s="64" t="n">
        <v>4.4</v>
      </c>
      <c r="Q74" s="63" t="n">
        <v>3153</v>
      </c>
      <c r="R74" s="63" t="n">
        <v>18045</v>
      </c>
      <c r="S74" s="63"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59" t="n">
        <v>69.98999999999999</v>
      </c>
      <c r="H75" s="32" t="inlineStr">
        <is>
          <t>Helium 10 Xray, 2026-10-13</t>
        </is>
      </c>
      <c r="I75" s="60" t="n">
        <v>64.98999999999999</v>
      </c>
      <c r="J75" s="61" t="inlineStr">
        <is>
          <t>2026-03-30</t>
        </is>
      </c>
      <c r="K75" s="33" t="n">
        <v>25.78</v>
      </c>
      <c r="L75" s="62" t="n">
        <v>0.3966764117556547</v>
      </c>
      <c r="M75" s="63" t="n">
        <v>2</v>
      </c>
      <c r="N75" s="32" t="inlineStr">
        <is>
          <t>Active</t>
        </is>
      </c>
      <c r="O75" s="32" t="n"/>
      <c r="P75" s="64" t="n">
        <v>4.4</v>
      </c>
      <c r="Q75" s="63" t="n">
        <v>3153</v>
      </c>
      <c r="R75" s="63" t="n">
        <v>18045</v>
      </c>
      <c r="S75" s="63"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59" t="n">
        <v>69.98999999999999</v>
      </c>
      <c r="H76" s="32" t="inlineStr">
        <is>
          <t>Helium 10 Xray, 2026-10-13</t>
        </is>
      </c>
      <c r="I76" s="60" t="n">
        <v>59.99</v>
      </c>
      <c r="J76" s="61" t="inlineStr">
        <is>
          <t>2026-03-30</t>
        </is>
      </c>
      <c r="K76" s="33" t="n">
        <v>23.62</v>
      </c>
      <c r="L76" s="62" t="n">
        <v>0.3937322887147858</v>
      </c>
      <c r="M76" s="63" t="n">
        <v>2</v>
      </c>
      <c r="N76" s="32" t="inlineStr">
        <is>
          <t>Active</t>
        </is>
      </c>
      <c r="O76" s="32" t="n"/>
      <c r="P76" s="64" t="n">
        <v>4.4</v>
      </c>
      <c r="Q76" s="63" t="n">
        <v>3153</v>
      </c>
      <c r="R76" s="63" t="n">
        <v>18045</v>
      </c>
      <c r="S76" s="63"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59" t="n">
        <v>69.98999999999999</v>
      </c>
      <c r="H77" s="32" t="inlineStr">
        <is>
          <t>Helium 10 Xray, 2026-10-13</t>
        </is>
      </c>
      <c r="I77" s="60" t="n">
        <v>64.98999999999999</v>
      </c>
      <c r="J77" s="61" t="inlineStr">
        <is>
          <t>2026-03-30</t>
        </is>
      </c>
      <c r="K77" s="33" t="n">
        <v>27.32</v>
      </c>
      <c r="L77" s="62" t="n">
        <v>0.4203723649792275</v>
      </c>
      <c r="M77" s="63" t="n">
        <v>2</v>
      </c>
      <c r="N77" s="32" t="inlineStr">
        <is>
          <t>Active</t>
        </is>
      </c>
      <c r="O77" s="32" t="n"/>
      <c r="P77" s="64" t="n">
        <v>4.4</v>
      </c>
      <c r="Q77" s="63" t="n">
        <v>3153</v>
      </c>
      <c r="R77" s="63" t="n">
        <v>18045</v>
      </c>
      <c r="S77" s="63"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59" t="n">
        <v>99.98999999999999</v>
      </c>
      <c r="H78" s="32" t="inlineStr">
        <is>
          <t>Helium 10 Xray, 2026-10-13</t>
        </is>
      </c>
      <c r="I78" s="60" t="n">
        <v>89.98999999999999</v>
      </c>
      <c r="J78" s="61" t="inlineStr">
        <is>
          <t>2026-03-30</t>
        </is>
      </c>
      <c r="K78" s="33" t="n">
        <v>34.85999999999999</v>
      </c>
      <c r="L78" s="62" t="n">
        <v>0.3873763751527947</v>
      </c>
      <c r="M78" s="63" t="n">
        <v>1</v>
      </c>
      <c r="N78" s="32" t="inlineStr">
        <is>
          <t>Active</t>
        </is>
      </c>
      <c r="O78" s="32" t="n"/>
      <c r="P78" s="64" t="n">
        <v>4.4</v>
      </c>
      <c r="Q78" s="63" t="n">
        <v>3153</v>
      </c>
      <c r="R78" s="63" t="n">
        <v>18049</v>
      </c>
      <c r="S78" s="63"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59" t="n">
        <v>99.98999999999999</v>
      </c>
      <c r="H79" s="32" t="inlineStr">
        <is>
          <t>Helium 10 Xray, 2026-10-13</t>
        </is>
      </c>
      <c r="I79" s="60" t="n">
        <v>89.98999999999999</v>
      </c>
      <c r="J79" s="61" t="inlineStr">
        <is>
          <t>2026-03-30</t>
        </is>
      </c>
      <c r="K79" s="33" t="n">
        <v>33.86999999999999</v>
      </c>
      <c r="L79" s="62" t="n">
        <v>0.3763751527947549</v>
      </c>
      <c r="M79" s="63" t="n">
        <v>1</v>
      </c>
      <c r="N79" s="32" t="inlineStr">
        <is>
          <t>Inactive</t>
        </is>
      </c>
      <c r="O79" s="32" t="n"/>
      <c r="P79" s="64" t="n">
        <v>4.4</v>
      </c>
      <c r="Q79" s="63" t="n">
        <v>3153</v>
      </c>
      <c r="R79" s="63" t="n">
        <v>18045</v>
      </c>
      <c r="S79" s="63"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0" t="n">
        <v>90.98999999999999</v>
      </c>
      <c r="J80" s="61" t="inlineStr">
        <is>
          <t>2026-03-30</t>
        </is>
      </c>
      <c r="K80" s="33" t="n">
        <v>43.73999999999999</v>
      </c>
      <c r="L80" s="62" t="n">
        <v>0.4807121661721068</v>
      </c>
      <c r="M80" s="63" t="n">
        <v>1</v>
      </c>
      <c r="N80" s="32" t="inlineStr">
        <is>
          <t>Inactive</t>
        </is>
      </c>
      <c r="O80" s="32" t="n"/>
      <c r="P80" s="64" t="n"/>
      <c r="Q80" s="63" t="n"/>
      <c r="R80" s="63" t="n"/>
      <c r="S80" s="63"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0" t="n">
        <v>90.98999999999999</v>
      </c>
      <c r="J81" s="61" t="inlineStr">
        <is>
          <t>2026-03-30</t>
        </is>
      </c>
      <c r="K81" s="33" t="n">
        <v>44.05</v>
      </c>
      <c r="L81" s="62" t="n">
        <v>0.484119133970766</v>
      </c>
      <c r="M81" s="63" t="n">
        <v>1</v>
      </c>
      <c r="N81" s="32" t="inlineStr">
        <is>
          <t>Active</t>
        </is>
      </c>
      <c r="O81" s="32" t="n"/>
      <c r="P81" s="64" t="n"/>
      <c r="Q81" s="63" t="n"/>
      <c r="R81" s="63" t="n"/>
      <c r="S81" s="63"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0" t="n">
        <v>96.98999999999999</v>
      </c>
      <c r="J82" s="61" t="inlineStr">
        <is>
          <t>2026-03-22</t>
        </is>
      </c>
      <c r="K82" s="33" t="n">
        <v>48.01</v>
      </c>
      <c r="L82" s="62" t="n">
        <v>0.4949994844829363</v>
      </c>
      <c r="M82" s="63" t="n">
        <v>1</v>
      </c>
      <c r="N82" s="32" t="inlineStr">
        <is>
          <t>Active</t>
        </is>
      </c>
      <c r="O82" s="32" t="n"/>
      <c r="P82" s="64" t="n"/>
      <c r="Q82" s="63" t="n"/>
      <c r="R82" s="63" t="n"/>
      <c r="S82" s="63"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2" t="n"/>
      <c r="M83" s="63" t="n"/>
      <c r="N83" s="32" t="inlineStr">
        <is>
          <t>Inactive</t>
        </is>
      </c>
      <c r="O83" s="32" t="n"/>
      <c r="P83" s="64" t="n"/>
      <c r="Q83" s="63" t="n"/>
      <c r="R83" s="63" t="n"/>
      <c r="S83" s="63"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0" t="n">
        <v>84.98999999999999</v>
      </c>
      <c r="J84" s="61" t="inlineStr">
        <is>
          <t>2026-02-26</t>
        </is>
      </c>
      <c r="K84" s="33" t="n">
        <v>29.29</v>
      </c>
      <c r="L84" s="62" t="n">
        <v>0.3446287798564537</v>
      </c>
      <c r="M84" s="63" t="n">
        <v>0</v>
      </c>
      <c r="N84" s="32" t="inlineStr">
        <is>
          <t>Inactive</t>
        </is>
      </c>
      <c r="O84" s="32" t="n"/>
      <c r="P84" s="64" t="n"/>
      <c r="Q84" s="63" t="n"/>
      <c r="R84" s="63" t="n"/>
      <c r="S84" s="63"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59" t="n">
        <v>99.98999999999999</v>
      </c>
      <c r="H85" s="32" t="inlineStr">
        <is>
          <t>Helium 10 Xray, 2026-10-13</t>
        </is>
      </c>
      <c r="I85" s="60" t="n">
        <v>84.98999999999999</v>
      </c>
      <c r="J85" s="61" t="inlineStr">
        <is>
          <t>2026-02-28</t>
        </is>
      </c>
      <c r="K85" s="33" t="n">
        <v>25.41</v>
      </c>
      <c r="L85" s="62" t="n">
        <v>0.2989763501588422</v>
      </c>
      <c r="M85" s="63" t="n">
        <v>0</v>
      </c>
      <c r="N85" s="32" t="inlineStr">
        <is>
          <t>Active</t>
        </is>
      </c>
      <c r="O85" s="32" t="n"/>
      <c r="P85" s="64" t="n">
        <v>4.4</v>
      </c>
      <c r="Q85" s="63" t="n">
        <v>3153</v>
      </c>
      <c r="R85" s="63" t="n">
        <v>18045</v>
      </c>
      <c r="S85" s="63"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0" t="n">
        <v>89.98999999999999</v>
      </c>
      <c r="J86" s="61" t="inlineStr">
        <is>
          <t>2026-03-30</t>
        </is>
      </c>
      <c r="K86" s="33" t="n">
        <v>33.72999999999999</v>
      </c>
      <c r="L86" s="62" t="n">
        <v>0.3748194243804866</v>
      </c>
      <c r="M86" s="63" t="n"/>
      <c r="N86" s="32" t="inlineStr">
        <is>
          <t>Inactive</t>
        </is>
      </c>
      <c r="O86" s="32" t="n"/>
      <c r="P86" s="64" t="n"/>
      <c r="Q86" s="63" t="n"/>
      <c r="R86" s="63" t="n"/>
      <c r="S86" s="63"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0" t="n">
        <v>89.98999999999999</v>
      </c>
      <c r="J87" s="61" t="inlineStr">
        <is>
          <t>2026-03-30</t>
        </is>
      </c>
      <c r="K87" s="33" t="n">
        <v>33.61999999999999</v>
      </c>
      <c r="L87" s="62" t="n">
        <v>0.3735970663407044</v>
      </c>
      <c r="M87" s="63" t="n">
        <v>0</v>
      </c>
      <c r="N87" s="32" t="inlineStr">
        <is>
          <t>Active</t>
        </is>
      </c>
      <c r="O87" s="32" t="n"/>
      <c r="P87" s="64" t="n"/>
      <c r="Q87" s="63" t="n"/>
      <c r="R87" s="63" t="n"/>
      <c r="S87" s="63"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2" t="n"/>
      <c r="M88" s="63" t="n"/>
      <c r="N88" s="32" t="inlineStr">
        <is>
          <t>Inactive</t>
        </is>
      </c>
      <c r="O88" s="32" t="n"/>
      <c r="P88" s="64" t="n"/>
      <c r="Q88" s="63" t="n"/>
      <c r="R88" s="63" t="n"/>
      <c r="S88" s="63"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0" t="n">
        <v>74.98999999999999</v>
      </c>
      <c r="J89" s="61" t="inlineStr">
        <is>
          <t>2026-03-30</t>
        </is>
      </c>
      <c r="K89" s="33" t="n">
        <v>30.37999999999999</v>
      </c>
      <c r="L89" s="62" t="n">
        <v>0.405120682757701</v>
      </c>
      <c r="M89" s="63" t="n">
        <v>0</v>
      </c>
      <c r="N89" s="32" t="inlineStr">
        <is>
          <t>Active</t>
        </is>
      </c>
      <c r="O89" s="32" t="n"/>
      <c r="P89" s="64" t="n"/>
      <c r="Q89" s="63" t="n"/>
      <c r="R89" s="63" t="n"/>
      <c r="S89" s="63"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2" t="n"/>
      <c r="M90" s="63" t="n"/>
      <c r="N90" s="32" t="inlineStr">
        <is>
          <t>Inactive</t>
        </is>
      </c>
      <c r="O90" s="32" t="n"/>
      <c r="P90" s="64" t="n"/>
      <c r="Q90" s="63" t="n"/>
      <c r="R90" s="63" t="n"/>
      <c r="S90" s="63"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0" t="n">
        <v>90.98999999999999</v>
      </c>
      <c r="J91" s="61" t="inlineStr">
        <is>
          <t>2026-03-30</t>
        </is>
      </c>
      <c r="K91" s="33" t="n">
        <v>43.91999999999999</v>
      </c>
      <c r="L91" s="62" t="n">
        <v>0.4826904055390701</v>
      </c>
      <c r="M91" s="63" t="n">
        <v>0</v>
      </c>
      <c r="N91" s="32" t="inlineStr">
        <is>
          <t>Active</t>
        </is>
      </c>
      <c r="O91" s="32" t="n"/>
      <c r="P91" s="64" t="n"/>
      <c r="Q91" s="63" t="n"/>
      <c r="R91" s="63" t="n"/>
      <c r="S91" s="63"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2" t="n"/>
      <c r="M92" s="63" t="n"/>
      <c r="N92" s="32" t="inlineStr">
        <is>
          <t>Inactive</t>
        </is>
      </c>
      <c r="O92" s="32" t="n"/>
      <c r="P92" s="64" t="n"/>
      <c r="Q92" s="63" t="n"/>
      <c r="R92" s="63" t="n"/>
      <c r="S92" s="63"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2" t="n"/>
      <c r="M93" s="63" t="n"/>
      <c r="N93" s="32" t="inlineStr">
        <is>
          <t>Inactive</t>
        </is>
      </c>
      <c r="O93" s="32" t="n"/>
      <c r="P93" s="64" t="n"/>
      <c r="Q93" s="63" t="n"/>
      <c r="R93" s="63" t="n"/>
      <c r="S93" s="63"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2" t="n"/>
      <c r="M94" s="63" t="n"/>
      <c r="N94" s="32" t="inlineStr">
        <is>
          <t>Inactive</t>
        </is>
      </c>
      <c r="O94" s="32" t="n"/>
      <c r="P94" s="64" t="n"/>
      <c r="Q94" s="63" t="n"/>
      <c r="R94" s="63" t="n"/>
      <c r="S94" s="63"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59" t="n">
        <v>84.98999999999999</v>
      </c>
      <c r="H95" s="32" t="inlineStr">
        <is>
          <t>Helium 10 Xray, 2026-10-13</t>
        </is>
      </c>
      <c r="I95" s="60" t="n">
        <v>84.98999999999999</v>
      </c>
      <c r="J95" s="61" t="inlineStr">
        <is>
          <t>2026-03-14</t>
        </is>
      </c>
      <c r="K95" s="33" t="n">
        <v>35.28999999999999</v>
      </c>
      <c r="L95" s="62" t="n">
        <v>0.4152253206259559</v>
      </c>
      <c r="M95" s="63" t="n"/>
      <c r="N95" s="32" t="inlineStr">
        <is>
          <t>Inactive</t>
        </is>
      </c>
      <c r="O95" s="32" t="n"/>
      <c r="P95" s="64" t="n">
        <v>4.4</v>
      </c>
      <c r="Q95" s="63" t="n">
        <v>3153</v>
      </c>
      <c r="R95" s="63" t="n">
        <v>18045</v>
      </c>
      <c r="S95" s="63"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59" t="n">
        <v>84.98999999999999</v>
      </c>
      <c r="H96" s="32" t="inlineStr">
        <is>
          <t>Helium 10 Xray, 2026-10-13</t>
        </is>
      </c>
      <c r="I96" s="60" t="n">
        <v>84.98999999999999</v>
      </c>
      <c r="J96" s="61" t="inlineStr">
        <is>
          <t>2026-03-28</t>
        </is>
      </c>
      <c r="K96" s="33" t="n">
        <v>36.61999999999999</v>
      </c>
      <c r="L96" s="62" t="n">
        <v>0.430874220496529</v>
      </c>
      <c r="M96" s="63" t="n"/>
      <c r="N96" s="32" t="inlineStr">
        <is>
          <t>Inactive</t>
        </is>
      </c>
      <c r="O96" s="32" t="n"/>
      <c r="P96" s="64" t="n">
        <v>4.4</v>
      </c>
      <c r="Q96" s="63" t="n">
        <v>3153</v>
      </c>
      <c r="R96" s="63" t="n">
        <v>18049</v>
      </c>
      <c r="S96" s="63"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2" t="n"/>
      <c r="M97" s="63" t="n"/>
      <c r="N97" s="32" t="inlineStr">
        <is>
          <t>Inactive</t>
        </is>
      </c>
      <c r="O97" s="32" t="n"/>
      <c r="P97" s="64" t="n"/>
      <c r="Q97" s="63" t="n"/>
      <c r="R97" s="63" t="n"/>
      <c r="S97" s="63"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0" t="n">
        <v>64.98999999999999</v>
      </c>
      <c r="J98" s="61" t="inlineStr">
        <is>
          <t>2026-03-30</t>
        </is>
      </c>
      <c r="K98" s="33" t="n">
        <v>28.02999999999999</v>
      </c>
      <c r="L98" s="62" t="n">
        <v>0.4312971226342514</v>
      </c>
      <c r="M98" s="63" t="n">
        <v>0</v>
      </c>
      <c r="N98" s="32" t="inlineStr">
        <is>
          <t>Inactive</t>
        </is>
      </c>
      <c r="O98" s="32" t="n"/>
      <c r="P98" s="64" t="n"/>
      <c r="Q98" s="63" t="n"/>
      <c r="R98" s="63" t="n"/>
      <c r="S98" s="63"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59" t="n">
        <v>64.98999999999999</v>
      </c>
      <c r="H99" s="32" t="inlineStr">
        <is>
          <t>Helium 10 Xray, 2026-10-13</t>
        </is>
      </c>
      <c r="I99" s="60" t="n">
        <v>80.98999999999999</v>
      </c>
      <c r="J99" s="61" t="inlineStr">
        <is>
          <t>2026-03-30</t>
        </is>
      </c>
      <c r="K99" s="33" t="n">
        <v>41.47999999999999</v>
      </c>
      <c r="L99" s="62" t="n">
        <v>0.5121619953080626</v>
      </c>
      <c r="M99" s="63" t="n"/>
      <c r="N99" s="32" t="inlineStr">
        <is>
          <t>Inactive</t>
        </is>
      </c>
      <c r="O99" s="32" t="n"/>
      <c r="P99" s="64" t="n">
        <v>4.4</v>
      </c>
      <c r="Q99" s="63" t="n">
        <v>3153</v>
      </c>
      <c r="R99" s="63" t="n">
        <v>18045</v>
      </c>
      <c r="S99" s="63"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59" t="n">
        <v>64.98999999999999</v>
      </c>
      <c r="H100" s="32" t="inlineStr">
        <is>
          <t>Helium 10 Xray, 2026-10-13</t>
        </is>
      </c>
      <c r="I100" s="60" t="n">
        <v>80.98999999999999</v>
      </c>
      <c r="J100" s="61" t="inlineStr">
        <is>
          <t>2026-03-30</t>
        </is>
      </c>
      <c r="K100" s="33" t="n">
        <v>40.19999999999999</v>
      </c>
      <c r="L100" s="62" t="n">
        <v>0.4963575750092603</v>
      </c>
      <c r="M100" s="63" t="n">
        <v>0</v>
      </c>
      <c r="N100" s="32" t="inlineStr">
        <is>
          <t>Active</t>
        </is>
      </c>
      <c r="O100" s="32" t="n"/>
      <c r="P100" s="64" t="n">
        <v>4.4</v>
      </c>
      <c r="Q100" s="63" t="n">
        <v>3153</v>
      </c>
      <c r="R100" s="63" t="n">
        <v>18049</v>
      </c>
      <c r="S100" s="63"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2" t="n"/>
      <c r="M101" s="63" t="n"/>
      <c r="N101" s="32" t="inlineStr">
        <is>
          <t>Inactive</t>
        </is>
      </c>
      <c r="O101" s="32" t="n"/>
      <c r="P101" s="64" t="n"/>
      <c r="Q101" s="63" t="n"/>
      <c r="R101" s="63" t="n"/>
      <c r="S101" s="63"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0" t="n">
        <v>64.98999999999999</v>
      </c>
      <c r="J102" s="61" t="inlineStr">
        <is>
          <t>2026-03-30</t>
        </is>
      </c>
      <c r="K102" s="33" t="n">
        <v>27.48</v>
      </c>
      <c r="L102" s="62" t="n">
        <v>0.4228342821972611</v>
      </c>
      <c r="M102" s="63" t="n">
        <v>0</v>
      </c>
      <c r="N102" s="32" t="inlineStr">
        <is>
          <t>Active</t>
        </is>
      </c>
      <c r="O102" s="32" t="n"/>
      <c r="P102" s="64" t="n"/>
      <c r="Q102" s="63" t="n"/>
      <c r="R102" s="63" t="n"/>
      <c r="S102" s="63"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0" t="n">
        <v>85.98999999999999</v>
      </c>
      <c r="J103" s="61" t="inlineStr">
        <is>
          <t>2026-03-30</t>
        </is>
      </c>
      <c r="K103" s="33" t="n">
        <v>46.08999999999998</v>
      </c>
      <c r="L103" s="62" t="n">
        <v>0.5359925572741014</v>
      </c>
      <c r="M103" s="63" t="n"/>
      <c r="N103" s="32" t="inlineStr">
        <is>
          <t>Inactive</t>
        </is>
      </c>
      <c r="O103" s="32" t="n"/>
      <c r="P103" s="64" t="n"/>
      <c r="Q103" s="63" t="n"/>
      <c r="R103" s="63" t="n"/>
      <c r="S103" s="63" t="n"/>
      <c r="T103" s="32" t="n"/>
    </row>
    <row r="105" ht="20" customHeight="1">
      <c r="A105" s="53" t="inlineStr">
        <is>
          <t>3 · OUR BFCM 2025 RESULT &amp; EVENT VISIBILITY</t>
        </is>
      </c>
    </row>
    <row r="106">
      <c r="A106" s="66" t="inlineStr">
        <is>
          <t>Window</t>
        </is>
      </c>
      <c r="B106" s="67" t="n"/>
      <c r="C106" s="68" t="n"/>
      <c r="D106" s="66" t="inlineStr">
        <is>
          <t>Ad spend</t>
        </is>
      </c>
      <c r="E106" s="66" t="inlineStr">
        <is>
          <t>Ad sales</t>
        </is>
      </c>
      <c r="F106" s="66" t="inlineStr">
        <is>
          <t>ACoS</t>
        </is>
      </c>
      <c r="G106" s="66" t="inlineStr">
        <is>
          <t>TACoS</t>
        </is>
      </c>
      <c r="H106" s="66" t="inlineStr">
        <is>
          <t>Total sales (derived)</t>
        </is>
      </c>
      <c r="J106" s="66" t="inlineStr">
        <is>
          <t>Ad orders</t>
        </is>
      </c>
      <c r="K106" s="66" t="inlineStr">
        <is>
          <t>CVR</t>
        </is>
      </c>
    </row>
    <row r="107">
      <c r="A107" s="69" t="inlineStr">
        <is>
          <t>Pre-event Oct 21 - Nov 19, 2025 (30d)</t>
        </is>
      </c>
      <c r="B107" s="67" t="n"/>
      <c r="C107" s="68" t="n"/>
      <c r="D107" s="70" t="n">
        <v>19609.33</v>
      </c>
      <c r="E107" s="70" t="n">
        <v>78163.43000000001</v>
      </c>
      <c r="F107" s="71" t="n">
        <v>25.1</v>
      </c>
      <c r="G107" s="71" t="n">
        <v>7.437756914344342</v>
      </c>
      <c r="H107" s="70" t="n">
        <v>263645.75</v>
      </c>
      <c r="J107" s="72" t="n">
        <v>999</v>
      </c>
      <c r="K107" s="73" t="n">
        <v>16.59</v>
      </c>
    </row>
    <row r="108">
      <c r="A108" s="69" t="inlineStr">
        <is>
          <t>BFCM week Nov 20 - Dec 1, 2025 (12d)</t>
        </is>
      </c>
      <c r="B108" s="67" t="n"/>
      <c r="C108" s="68" t="n"/>
      <c r="D108" s="70" t="n">
        <v>16802.87</v>
      </c>
      <c r="E108" s="70" t="n">
        <v>85287.08</v>
      </c>
      <c r="F108" s="71" t="n">
        <v>19.7</v>
      </c>
      <c r="G108" s="71" t="n">
        <v>6.403236527090554</v>
      </c>
      <c r="H108" s="70" t="n">
        <v>262412.14</v>
      </c>
      <c r="J108" s="72" t="n">
        <v>1125</v>
      </c>
      <c r="K108" s="73" t="n">
        <v>20.05</v>
      </c>
    </row>
    <row r="109">
      <c r="A109" s="69" t="inlineStr">
        <is>
          <t>December 2 - 31, 2025 (30d)</t>
        </is>
      </c>
      <c r="B109" s="67" t="n"/>
      <c r="C109" s="68" t="n"/>
      <c r="D109" s="70" t="n">
        <v>28935.26</v>
      </c>
      <c r="E109" s="70" t="n">
        <v>141155.88</v>
      </c>
      <c r="F109" s="71" t="n">
        <v>20.5</v>
      </c>
      <c r="G109" s="71" t="n">
        <v>8.099647923911077</v>
      </c>
      <c r="H109" s="70" t="n">
        <v>357240.96</v>
      </c>
      <c r="J109" s="72" t="n">
        <v>1626</v>
      </c>
      <c r="K109" s="73" t="n">
        <v>17.58</v>
      </c>
    </row>
    <row r="111">
      <c r="A111" s="66" t="inlineStr">
        <is>
          <t>Actual sales (SellerBoard)</t>
        </is>
      </c>
      <c r="B111" s="67" t="n"/>
      <c r="C111" s="68" t="n"/>
      <c r="D111" s="66" t="inlineStr">
        <is>
          <t>Sales</t>
        </is>
      </c>
      <c r="E111" s="66" t="inlineStr">
        <is>
          <t>Units</t>
        </is>
      </c>
      <c r="F111" s="66" t="inlineStr">
        <is>
          <t>Organic units</t>
        </is>
      </c>
      <c r="G111" s="66" t="inlineStr">
        <is>
          <t>Ad units</t>
        </is>
      </c>
      <c r="H111" s="66" t="inlineStr">
        <is>
          <t>Ad cost</t>
        </is>
      </c>
      <c r="J111" s="66" t="inlineStr">
        <is>
          <t>TACoS (actual)</t>
        </is>
      </c>
      <c r="K111" s="66" t="inlineStr">
        <is>
          <t>Sessions</t>
        </is>
      </c>
      <c r="L111" s="66" t="inlineStr">
        <is>
          <t>Unit session %</t>
        </is>
      </c>
      <c r="M111" s="66" t="inlineStr">
        <is>
          <t>Avg price</t>
        </is>
      </c>
      <c r="N111" s="66" t="inlineStr">
        <is>
          <t>Refunds</t>
        </is>
      </c>
    </row>
    <row r="112">
      <c r="A112" s="69" t="inlineStr">
        <is>
          <t>Pre-event Oct 21 - Nov 19, 2025 (30d)</t>
        </is>
      </c>
      <c r="B112" s="67" t="n"/>
      <c r="C112" s="68" t="n"/>
      <c r="D112" s="70" t="n">
        <v>263645.75</v>
      </c>
      <c r="E112" s="72" t="n">
        <v>3442</v>
      </c>
      <c r="F112" s="72" t="n">
        <v>3297</v>
      </c>
      <c r="G112" s="72" t="n">
        <v>145</v>
      </c>
      <c r="H112" s="70" t="n">
        <v>19610.62</v>
      </c>
      <c r="J112" s="74" t="n">
        <v>0.07438246207268655</v>
      </c>
      <c r="K112" s="72" t="n">
        <v>49108</v>
      </c>
      <c r="L112" s="74" t="n">
        <v>0.0700904129673373</v>
      </c>
      <c r="M112" s="75" t="n">
        <v>76.59667344567112</v>
      </c>
      <c r="N112" s="72" t="n">
        <v>244</v>
      </c>
    </row>
    <row r="113">
      <c r="A113" s="69" t="inlineStr">
        <is>
          <t>BFCM week Nov 20 - Dec 1, 2025 (12d)</t>
        </is>
      </c>
      <c r="B113" s="67" t="n"/>
      <c r="C113" s="68" t="n"/>
      <c r="D113" s="70" t="n">
        <v>262412.14</v>
      </c>
      <c r="E113" s="72" t="n">
        <v>3572</v>
      </c>
      <c r="F113" s="72" t="n">
        <v>3402</v>
      </c>
      <c r="G113" s="72" t="n">
        <v>170</v>
      </c>
      <c r="H113" s="70" t="n">
        <v>16812.88</v>
      </c>
      <c r="J113" s="74" t="n">
        <v>0.0640705113719205</v>
      </c>
      <c r="K113" s="72" t="n">
        <v>51029</v>
      </c>
      <c r="L113" s="74" t="n">
        <v>0.06999941209900253</v>
      </c>
      <c r="M113" s="75" t="n">
        <v>73.46364501679732</v>
      </c>
      <c r="N113" s="72" t="n">
        <v>107</v>
      </c>
    </row>
    <row r="114">
      <c r="A114" s="69" t="inlineStr">
        <is>
          <t>December 2 - 31, 2025 (30d)</t>
        </is>
      </c>
      <c r="B114" s="67" t="n"/>
      <c r="C114" s="68" t="n"/>
      <c r="D114" s="70" t="n">
        <v>357240.96</v>
      </c>
      <c r="E114" s="72" t="n">
        <v>4230</v>
      </c>
      <c r="F114" s="72" t="n">
        <v>3971</v>
      </c>
      <c r="G114" s="72" t="n">
        <v>259</v>
      </c>
      <c r="H114" s="70" t="n">
        <v>28943.06</v>
      </c>
      <c r="J114" s="74" t="n">
        <v>0.0810183132415723</v>
      </c>
      <c r="K114" s="72" t="n">
        <v>58825</v>
      </c>
      <c r="L114" s="74" t="n">
        <v>0.07190820229494263</v>
      </c>
      <c r="M114" s="75" t="n">
        <v>84.45412765957447</v>
      </c>
      <c r="N114" s="72" t="n">
        <v>337</v>
      </c>
    </row>
    <row r="115">
      <c r="A115" s="58" t="inlineStr">
        <is>
          <t>SellerBoard, Ecotero account, Amazon parent B0H6335KNV plus any of this product's child ASINs SellerBoard lists on their own, UTC days. Lift above uses these actual sales (2.49x; the ad-spend estimate was 2.49x).</t>
        </is>
      </c>
    </row>
    <row r="116" ht="30" customHeight="1">
      <c r="A116" s="76"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7" t="inlineStr">
        <is>
          <t>BFCM 2026 plan (BM, Oct 15, 2026): Best Deal 11/19-11/30. Deal price and depth not yet given; not yet visible in Amazon's deal feed.</t>
        </is>
      </c>
    </row>
    <row r="118" ht="30" customHeight="1">
      <c r="A118" s="78" t="inlineStr">
        <is>
          <t>Amazon deal price now (Slack):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 [Umair Tahir, #6-pc-bamboo, 2026-10-13]</t>
        </is>
      </c>
    </row>
    <row r="119" ht="30" customHeight="1">
      <c r="A119" s="78" t="inlineStr">
        <is>
          <t>Pre-BFCM deal decision (Slack): Oct 15 Lightning Deal: Erik Fisher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 [Umair Tahir, #6-pc-bamboo, 2026-10-13]</t>
        </is>
      </c>
    </row>
    <row r="120" ht="18" customHeight="1">
      <c r="A120" s="79" t="inlineStr">
        <is>
          <t>ASSUMED 2026 deal prices, until BM's final: B0CQ2XQF9N today $99.99; $84.99 at 15% off (Nov 19-26) and $79.99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21" ht="30" customHeight="1">
      <c r="A121" s="76"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2" ht="40" customHeight="1">
      <c r="A122" s="76"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3">
      <c r="A123" s="58" t="inlineStr">
        <is>
          <t>Command Center visibility for our best child B0CQ2XQF9N: organic score None before BFCM 2025 → None in BFCM week; Prime Day 2026 80.3 → 115.8; Aug-Sep 2026 120.0.</t>
        </is>
      </c>
    </row>
    <row r="125" ht="20" customHeight="1">
      <c r="A125" s="53" t="inlineStr">
        <is>
          <t>4 · COMPETITOR LANDSCAPE (61 mapped)</t>
        </is>
      </c>
    </row>
    <row r="126">
      <c r="A126" s="58" t="inlineStr">
        <is>
          <t>Sorted by tier, then estimated weekly units. Green = Command Center price/sales; blue = Data Dive listing; purple = Command Center search strategy (ASINsight); yellow = fill from Keepa / page check.</t>
        </is>
      </c>
    </row>
    <row r="127">
      <c r="A127" s="80" t="inlineStr">
        <is>
          <t>COMPETITOR</t>
        </is>
      </c>
      <c r="I127" s="81" t="inlineStr">
        <is>
          <t>LISTING - Data Dive</t>
        </is>
      </c>
      <c r="J127" s="82" t="inlineStr">
        <is>
          <t>SEARCH STRATEGY - Command Center ASINsight</t>
        </is>
      </c>
      <c r="K127" s="83" t="inlineStr">
        <is>
          <t>PRICE &amp; SALES - Command Center snapshot (date per row)</t>
        </is>
      </c>
      <c r="X127" s="81" t="inlineStr">
        <is>
          <t>LISTING - Data Dive</t>
        </is>
      </c>
      <c r="AA127" s="82" t="inlineStr">
        <is>
          <t>SEARCH STRATEGY - Command Center ASINsight</t>
        </is>
      </c>
      <c r="AR127" s="84" t="inlineStr">
        <is>
          <t>STR NOW - Amazon page check (Oct 13, P1 + P2)</t>
        </is>
      </c>
      <c r="AY127" s="85" t="inlineStr">
        <is>
          <t>BFCM 2025 - Keepa (P1 filled; yellow = not pulled yet)</t>
        </is>
      </c>
    </row>
    <row r="128" ht="48" customHeight="1">
      <c r="A128" s="22" t="inlineStr">
        <is>
          <t>Image</t>
        </is>
      </c>
      <c r="B128" s="22" t="inlineStr">
        <is>
          <t>Brand</t>
        </is>
      </c>
      <c r="C128" s="22" t="inlineStr">
        <is>
          <t>Product title</t>
        </is>
      </c>
      <c r="D128" s="22" t="inlineStr">
        <is>
          <t>Tier</t>
        </is>
      </c>
      <c r="E128" s="22" t="inlineStr">
        <is>
          <t>Parent ASIN</t>
        </is>
      </c>
      <c r="F128" s="22" t="inlineStr">
        <is>
          <t>Tracked child ASIN</t>
        </is>
      </c>
      <c r="G128" s="22" t="inlineStr">
        <is>
          <t>Size</t>
        </is>
      </c>
      <c r="H128" s="22" t="inlineStr">
        <is>
          <t>Colour</t>
        </is>
      </c>
      <c r="I128" s="22" t="inlineStr">
        <is>
          <t>Variations</t>
        </is>
      </c>
      <c r="J128" s="22" t="inlineStr">
        <is>
          <t>Hero child ASINs (share of their visibility)</t>
        </is>
      </c>
      <c r="K128" s="22" t="inlineStr">
        <is>
          <t>Price ($)</t>
        </is>
      </c>
      <c r="L128" s="22" t="inlineStr">
        <is>
          <t>List Price ($)</t>
        </is>
      </c>
      <c r="M128" s="22" t="inlineStr">
        <is>
          <t>List Price % over</t>
        </is>
      </c>
      <c r="N128" s="22" t="inlineStr">
        <is>
          <t>STR band</t>
        </is>
      </c>
      <c r="O128" s="22" t="inlineStr">
        <is>
          <t>Our price, same size ($)</t>
        </is>
      </c>
      <c r="P128" s="22" t="inlineStr">
        <is>
          <t>Their price vs ours</t>
        </is>
      </c>
      <c r="Q128" s="22" t="inlineStr">
        <is>
          <t>Comparison basis</t>
        </is>
      </c>
      <c r="R128" s="22" t="inlineStr">
        <is>
          <t>BSR</t>
        </is>
      </c>
      <c r="S128" s="22" t="inlineStr">
        <is>
          <t>Est weekly units</t>
        </is>
      </c>
      <c r="T128" s="22" t="inlineStr">
        <is>
          <t>Est monthly revenue ($)</t>
        </is>
      </c>
      <c r="U128" s="22" t="inlineStr">
        <is>
          <t>Rating</t>
        </is>
      </c>
      <c r="V128" s="22" t="inlineStr">
        <is>
          <t>Reviews</t>
        </is>
      </c>
      <c r="W128" s="22" t="inlineStr">
        <is>
          <t>Snapshot date</t>
        </is>
      </c>
      <c r="X128" s="22" t="inlineStr">
        <is>
          <t>Listed</t>
        </is>
      </c>
      <c r="Y128" s="22" t="inlineStr">
        <is>
          <t>Fulfil.</t>
        </is>
      </c>
      <c r="Z128" s="22" t="inlineStr">
        <is>
          <t>Seller country</t>
        </is>
      </c>
      <c r="AA128" s="22" t="inlineStr">
        <is>
          <t>ASINsight 7d traffic</t>
        </is>
      </c>
      <c r="AB128" s="22" t="inlineStr">
        <is>
          <t>Keywords ranked</t>
        </is>
      </c>
      <c r="AC128" s="22" t="inlineStr">
        <is>
          <t>Organic share of traffic</t>
        </is>
      </c>
      <c r="AD128" s="22" t="inlineStr">
        <is>
          <t>Ad share of traffic</t>
        </is>
      </c>
      <c r="AE128" s="22" t="inlineStr">
        <is>
          <t>Top keyword</t>
        </is>
      </c>
      <c r="AF128" s="22" t="inlineStr">
        <is>
          <t>SP reach</t>
        </is>
      </c>
      <c r="AG128" s="22" t="inlineStr">
        <is>
          <t>SB reach</t>
        </is>
      </c>
      <c r="AH128" s="22" t="inlineStr">
        <is>
          <t>SB video reach</t>
        </is>
      </c>
      <c r="AI128" s="22" t="inlineStr">
        <is>
          <t>Amazon's Choice reach</t>
        </is>
      </c>
      <c r="AJ128" s="22" t="inlineStr">
        <is>
          <t>Shared keywords</t>
        </is>
      </c>
      <c r="AK128" s="22" t="inlineStr">
        <is>
          <t>We win</t>
        </is>
      </c>
      <c r="AL128" s="22" t="inlineStr">
        <is>
          <t>We lose</t>
        </is>
      </c>
      <c r="AM128" s="22" t="inlineStr">
        <is>
          <t>Their keywords we miss</t>
        </is>
      </c>
      <c r="AN128" s="22" t="inlineStr">
        <is>
          <t>KWs they advertise, we don't</t>
        </is>
      </c>
      <c r="AO128" s="22" t="inlineStr">
        <is>
          <t>KWs they out-advertise us</t>
        </is>
      </c>
      <c r="AP128" s="22" t="inlineStr">
        <is>
          <t>Prime Day 2026 organic vis lift</t>
        </is>
      </c>
      <c r="AQ128" s="22" t="inlineStr">
        <is>
          <t>Organic trend (Aug-Sep vs Q2)</t>
        </is>
      </c>
      <c r="AR128" s="22" t="inlineStr">
        <is>
          <t>STR showing now? (Y/N)</t>
        </is>
      </c>
      <c r="AS128" s="22" t="inlineStr">
        <is>
          <t>STR label</t>
        </is>
      </c>
      <c r="AT128" s="22" t="inlineStr">
        <is>
          <t>Strikethrough price ($)</t>
        </is>
      </c>
      <c r="AU128" s="22" t="inlineStr">
        <is>
          <t>Page price at check ($)</t>
        </is>
      </c>
      <c r="AV128" s="22" t="inlineStr">
        <is>
          <t>Deal / coupon now</t>
        </is>
      </c>
      <c r="AW128" s="22" t="inlineStr">
        <is>
          <t>Orderable now (Y/N)</t>
        </is>
      </c>
      <c r="AX128" s="22" t="inlineStr">
        <is>
          <t>Checked (ET)</t>
        </is>
      </c>
      <c r="AY128" s="22" t="inlineStr">
        <is>
          <t>BFCM 2025 deal type</t>
        </is>
      </c>
      <c r="AZ128" s="22" t="inlineStr">
        <is>
          <t>BFCM 2025 deal dates</t>
        </is>
      </c>
      <c r="BA128" s="22" t="inlineStr">
        <is>
          <t>Pre-event price ($)</t>
        </is>
      </c>
      <c r="BB128" s="22" t="inlineStr">
        <is>
          <t>BFCM 2025 low ($)</t>
        </is>
      </c>
      <c r="BC128" s="22" t="inlineStr">
        <is>
          <t>BFCM 2025 discount</t>
        </is>
      </c>
      <c r="BD128" s="22" t="inlineStr">
        <is>
          <t>BSR pre-event</t>
        </is>
      </c>
      <c r="BE128" s="22" t="inlineStr">
        <is>
          <t>BSR BFCM wk</t>
        </is>
      </c>
      <c r="BF128" s="22" t="inlineStr">
        <is>
          <t>BSR lift (x)</t>
        </is>
      </c>
      <c r="BG128" s="22" t="inlineStr">
        <is>
          <t>OOS in BFCM? (Y/N)</t>
        </is>
      </c>
      <c r="BH128" s="22" t="inlineStr">
        <is>
          <t>Notes</t>
        </is>
      </c>
    </row>
    <row r="129" ht="62" customHeight="1">
      <c r="A129" s="10">
        <f>_xlfn.IMAGE("https://images-na.ssl-images-amazon.com/images/I/81L2xb5ly6L.jpg")</f>
        <v/>
      </c>
      <c r="B129" s="86" t="inlineStr">
        <is>
          <t>Bedsure</t>
        </is>
      </c>
      <c r="C129" s="32" t="inlineStr">
        <is>
          <t>Bedsure PureWoven 100% Rayon Derived from Bamboo, Queen Sheets, 4 Pieces</t>
        </is>
      </c>
      <c r="D129" s="86" t="inlineStr">
        <is>
          <t>Aspirational</t>
        </is>
      </c>
      <c r="E129" s="87" t="inlineStr">
        <is>
          <t>B0BZ8T5BJ6</t>
        </is>
      </c>
      <c r="F129" s="87" t="inlineStr">
        <is>
          <t>B07YK8VTJV</t>
        </is>
      </c>
      <c r="G129" s="86" t="inlineStr">
        <is>
          <t>Queen</t>
        </is>
      </c>
      <c r="H129" s="86" t="inlineStr">
        <is>
          <t>02 - White</t>
        </is>
      </c>
      <c r="I129" s="88" t="n">
        <v>131</v>
      </c>
      <c r="J129" s="32" t="inlineStr">
        <is>
          <t>B07YKCZHGK (29%), B07YK8VTJV (19%), B07YKCQBBL (14%), B07YKCB6GL (9%), B08CXWHQT2 (6%)</t>
        </is>
      </c>
      <c r="K129" s="89" t="n">
        <v>62.99</v>
      </c>
      <c r="L129" s="89" t="n">
        <v>69.98999999999999</v>
      </c>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256</v>
      </c>
      <c r="S129" s="88" t="n">
        <v>809</v>
      </c>
      <c r="T129" s="93">
        <f>IF(AND(ISNUMBER(K129),ISNUMBER(S129)),K129*S129*52/12,"")</f>
        <v/>
      </c>
      <c r="U129" s="94" t="n">
        <v>4.4</v>
      </c>
      <c r="V129" s="88" t="n">
        <v>65061</v>
      </c>
      <c r="W129" s="95" t="n">
        <v>46307</v>
      </c>
      <c r="X129" s="95" t="n">
        <v>43348</v>
      </c>
      <c r="Y129" s="86" t="inlineStr">
        <is>
          <t>FBA</t>
        </is>
      </c>
      <c r="Z129" s="86" t="inlineStr">
        <is>
          <t>US</t>
        </is>
      </c>
      <c r="AA129" s="88" t="n">
        <v>2166046</v>
      </c>
      <c r="AB129" s="88" t="n">
        <v>6935</v>
      </c>
      <c r="AC129" s="96" t="n">
        <v>0.5902383405984899</v>
      </c>
      <c r="AD129" s="96" t="n">
        <v>0.4097618027040986</v>
      </c>
      <c r="AE129" s="32" t="inlineStr">
        <is>
          <t>bamboo sheets</t>
        </is>
      </c>
      <c r="AF129" s="96" t="n">
        <v>0.9388327856379781</v>
      </c>
      <c r="AG129" s="96" t="n">
        <v>0.9371818511702891</v>
      </c>
      <c r="AH129" s="96" t="n">
        <v>0.6488394059959945</v>
      </c>
      <c r="AI129" s="96" t="n">
        <v>0.3206907886536112</v>
      </c>
      <c r="AJ129" s="88" t="n">
        <v>1824</v>
      </c>
      <c r="AK129" s="88" t="n">
        <v>174</v>
      </c>
      <c r="AL129" s="88" t="n">
        <v>1559</v>
      </c>
      <c r="AM129" s="88" t="n">
        <v>5111</v>
      </c>
      <c r="AN129" s="88" t="n">
        <v>2778</v>
      </c>
      <c r="AO129" s="88" t="n">
        <v>204</v>
      </c>
      <c r="AP129" s="97" t="n">
        <v>1.066623404715553</v>
      </c>
      <c r="AQ129" s="92" t="n">
        <v>-0.05727665706051865</v>
      </c>
      <c r="AR129" s="98" t="inlineStr">
        <is>
          <t>Y</t>
        </is>
      </c>
      <c r="AS129" s="98" t="inlineStr">
        <is>
          <t>List Price</t>
        </is>
      </c>
      <c r="AT129" s="99" t="n">
        <v>69.98999999999999</v>
      </c>
      <c r="AU129" s="99" t="n">
        <v>62.99</v>
      </c>
      <c r="AV129" s="98" t="inlineStr">
        <is>
          <t>none</t>
        </is>
      </c>
      <c r="AW129" s="98" t="inlineStr">
        <is>
          <t>Y</t>
        </is>
      </c>
      <c r="AX129" s="98" t="inlineStr">
        <is>
          <t>2026-10-13 12:10:35</t>
        </is>
      </c>
      <c r="AY129" s="100" t="inlineStr">
        <is>
          <t>Prime Exclusive Discount</t>
        </is>
      </c>
      <c r="AZ129" s="100" t="inlineStr">
        <is>
          <t>11-23 to 12-01</t>
        </is>
      </c>
      <c r="BA129" s="101" t="n">
        <v>66.48999999999999</v>
      </c>
      <c r="BB129" s="101" t="n">
        <v>55.99</v>
      </c>
      <c r="BC129" s="90">
        <f>IF(AND(ISNUMBER(BA129),ISNUMBER(BB129),N(BA129)&gt;0),1-BB129/BA129,"")</f>
        <v/>
      </c>
      <c r="BD129" s="102" t="n">
        <v>156</v>
      </c>
      <c r="BE129" s="102" t="n">
        <v>228</v>
      </c>
      <c r="BF129" s="103">
        <f>IF(AND(ISNUMBER(BD129),ISNUMBER(BE129),N(BE129)&gt;0),BD129/BE129,"")</f>
        <v/>
      </c>
      <c r="BG129" s="100" t="inlineStr">
        <is>
          <t>N</t>
        </is>
      </c>
      <c r="BH129" s="100" t="inlineStr">
        <is>
          <t>Buy Box RAISED in BFCM week (median $69.99 vs $66.49 before); List Price $78.99</t>
        </is>
      </c>
    </row>
    <row r="130" ht="62" customHeight="1">
      <c r="A130" s="10">
        <f>_xlfn.IMAGE("https://images-na.ssl-images-amazon.com/images/I/91dfner9BkL.jpg")</f>
        <v/>
      </c>
      <c r="B130" s="86" t="inlineStr">
        <is>
          <t>Pure Bamboo</t>
        </is>
      </c>
      <c r="C130" s="32" t="inlineStr">
        <is>
          <t>Pure Bamboo King Sheets, Genuine 100% Organic Viscose Derived from Bamboo Bed Sheet Set, Luxuriously Soft &amp; Cooling, Double Stitching, 2 Year Quality Promise (King, Ivory)</t>
        </is>
      </c>
      <c r="D130" s="86" t="inlineStr">
        <is>
          <t>Aspirational</t>
        </is>
      </c>
      <c r="E130" s="87" t="inlineStr">
        <is>
          <t>B0CZQ52MTQ</t>
        </is>
      </c>
      <c r="F130" s="87" t="inlineStr">
        <is>
          <t>B07DZTQ4JC</t>
        </is>
      </c>
      <c r="G130" s="86" t="inlineStr">
        <is>
          <t>King</t>
        </is>
      </c>
      <c r="H130" s="86" t="inlineStr">
        <is>
          <t>Ivory</t>
        </is>
      </c>
      <c r="I130" s="88" t="n">
        <v>181</v>
      </c>
      <c r="J130" s="32" t="inlineStr">
        <is>
          <t>B07MZ4GKZH (30%), B079RXWGSD (12%), B07DZTQ4JC (11%), B074CHDX7V (10%), B07DZMB498 (5%)</t>
        </is>
      </c>
      <c r="K130" s="89" t="n">
        <v>109.99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(King). Ours live: Helium 10 Xray, 2026-10-13; 15 children</t>
        </is>
      </c>
      <c r="R130" s="88" t="n">
        <v>304</v>
      </c>
      <c r="S130" s="88" t="n">
        <v>809</v>
      </c>
      <c r="T130" s="93">
        <f>IF(AND(ISNUMBER(K130),ISNUMBER(S130)),K130*S130*52/12,"")</f>
        <v/>
      </c>
      <c r="U130" s="94" t="n">
        <v>4.5</v>
      </c>
      <c r="V130" s="88" t="n">
        <v>21927</v>
      </c>
      <c r="W130" s="95" t="n">
        <v>46307</v>
      </c>
      <c r="X130" s="95" t="n">
        <v>43281</v>
      </c>
      <c r="Y130" s="86" t="inlineStr">
        <is>
          <t>FBA</t>
        </is>
      </c>
      <c r="Z130" s="86" t="inlineStr">
        <is>
          <t>US</t>
        </is>
      </c>
      <c r="AA130" s="88" t="n">
        <v>2565055</v>
      </c>
      <c r="AB130" s="88" t="n">
        <v>8283</v>
      </c>
      <c r="AC130" s="96" t="n">
        <v>0.4648594811807159</v>
      </c>
      <c r="AD130" s="96" t="n">
        <v>0.5351407059497737</v>
      </c>
      <c r="AE130" s="32" t="inlineStr">
        <is>
          <t>bamboo sheets</t>
        </is>
      </c>
      <c r="AF130" s="96" t="n">
        <v>0.8806310196077667</v>
      </c>
      <c r="AG130" s="96" t="n">
        <v>0.8210506207469236</v>
      </c>
      <c r="AH130" s="96" t="n">
        <v>0.8831019217911507</v>
      </c>
      <c r="AI130" s="96" t="n">
        <v>0.2663467255088098</v>
      </c>
      <c r="AJ130" s="88" t="n">
        <v>1746</v>
      </c>
      <c r="AK130" s="88" t="n">
        <v>155</v>
      </c>
      <c r="AL130" s="88" t="n">
        <v>1506</v>
      </c>
      <c r="AM130" s="88" t="n">
        <v>6537</v>
      </c>
      <c r="AN130" s="88" t="n">
        <v>3237</v>
      </c>
      <c r="AO130" s="88" t="n">
        <v>208</v>
      </c>
      <c r="AP130" s="97" t="n">
        <v>1.180104147961932</v>
      </c>
      <c r="AQ130" s="92" t="n">
        <v>1.570823710546574</v>
      </c>
      <c r="AR130" s="98" t="inlineStr">
        <is>
          <t>N</t>
        </is>
      </c>
      <c r="AS130" s="98" t="inlineStr">
        <is>
          <t>none</t>
        </is>
      </c>
      <c r="AT130" s="104" t="n"/>
      <c r="AU130" s="99" t="n">
        <v>109.99</v>
      </c>
      <c r="AV130" s="98" t="inlineStr">
        <is>
          <t>none</t>
        </is>
      </c>
      <c r="AW130" s="98" t="inlineStr">
        <is>
          <t>Y</t>
        </is>
      </c>
      <c r="AX130" s="98" t="inlineStr">
        <is>
          <t>2026-10-13 12:11:16</t>
        </is>
      </c>
      <c r="AY130" s="100" t="inlineStr">
        <is>
          <t>None</t>
        </is>
      </c>
      <c r="AZ130" s="105" t="n"/>
      <c r="BA130" s="101" t="n">
        <v>109.99</v>
      </c>
      <c r="BB130" s="101" t="n">
        <v>109.99</v>
      </c>
      <c r="BC130" s="90">
        <f>IF(AND(ISNUMBER(BA130),ISNUMBER(BB130),N(BA130)&gt;0),1-BB130/BA130,"")</f>
        <v/>
      </c>
      <c r="BD130" s="102" t="n">
        <v>287</v>
      </c>
      <c r="BE130" s="102" t="n">
        <v>598</v>
      </c>
      <c r="BF130" s="103">
        <f>IF(AND(ISNUMBER(BD130),ISNUMBER(BE130),N(BE130)&gt;0),BD130/BE130,"")</f>
        <v/>
      </c>
      <c r="BG130" s="100" t="inlineStr">
        <is>
          <t>N</t>
        </is>
      </c>
      <c r="BH130" s="100" t="inlineStr">
        <is>
          <t>List Price $139.99/$149.99</t>
        </is>
      </c>
    </row>
    <row r="131" ht="62" customHeight="1">
      <c r="A131" s="10">
        <f>_xlfn.IMAGE("https://images-na.ssl-images-amazon.com/images/I/71oEhkRYQ+L.jpg")</f>
        <v/>
      </c>
      <c r="B131" s="86" t="inlineStr">
        <is>
          <t>Hotel Sheets Direct</t>
        </is>
      </c>
      <c r="C131" s="32" t="inlineStr">
        <is>
          <t>Hotel Sheets Direct 4 Piece Bed Sheet Set Queen Size, 100% Viscose Derived from Bamboo Sheets Set with 2 Pillowcases, Cooling &amp; Breathable Luxury Bedding, Moisture-Wicking &amp; Silky Soft Texture, White</t>
        </is>
      </c>
      <c r="D131" s="86" t="inlineStr">
        <is>
          <t>Aspirational</t>
        </is>
      </c>
      <c r="E131" s="87" t="inlineStr">
        <is>
          <t>B0G5N99X9R</t>
        </is>
      </c>
      <c r="F131" s="87" t="inlineStr">
        <is>
          <t>B01N9L2O9P</t>
        </is>
      </c>
      <c r="G131" s="86" t="inlineStr">
        <is>
          <t>Queen</t>
        </is>
      </c>
      <c r="H131" s="86" t="inlineStr">
        <is>
          <t>White</t>
        </is>
      </c>
      <c r="I131" s="88" t="n">
        <v>61</v>
      </c>
      <c r="J131" s="32" t="inlineStr">
        <is>
          <t>B01N9L2O9P (30%), B01N0UB2GO (20%), B072WD91XH (10%), B072WV76WK (6%), B07RJBYJ9L (5%)</t>
        </is>
      </c>
      <c r="K131" s="89" t="n">
        <v>79.98999999999999</v>
      </c>
      <c r="L131" s="89" t="n"/>
      <c r="M131" s="90">
        <f>IF(AND(ISNUMBER(L131),ISNUMBER(K131),N(K131)&gt;0),L131/K131-1,"")</f>
        <v/>
      </c>
      <c r="N131" s="91">
        <f>IF(M131="","No List Price",IF(M131&lt;=0,"At/below price",IF(M131&lt;=0.12,"&lt;=12% STR zone",IF(M131&lt;=0.25,"12-25%","&gt;25% over"))))</f>
        <v/>
      </c>
      <c r="O131" s="89" t="n">
        <v>94.98999999999999</v>
      </c>
      <c r="P131" s="92">
        <f>IF(AND(ISNUMBER(K131),ISNUMBER(O131),N(O131)&gt;0),K131/O131-1,"")</f>
        <v/>
      </c>
      <c r="Q131" s="32" t="inlineStr">
        <is>
          <t>Same size (Queen). Ours live: Helium 10 Xray, 2026-10-13; 15 children</t>
        </is>
      </c>
      <c r="R131" s="88" t="n">
        <v>2984</v>
      </c>
      <c r="S131" s="88" t="n">
        <v>347</v>
      </c>
      <c r="T131" s="93">
        <f>IF(AND(ISNUMBER(K131),ISNUMBER(S131)),K131*S131*52/12,"")</f>
        <v/>
      </c>
      <c r="U131" s="94" t="n">
        <v>4.4</v>
      </c>
      <c r="V131" s="88" t="n">
        <v>37179</v>
      </c>
      <c r="W131" s="95" t="n">
        <v>46307</v>
      </c>
      <c r="X131" s="95" t="n">
        <v>42729</v>
      </c>
      <c r="Y131" s="86" t="inlineStr">
        <is>
          <t>FBA</t>
        </is>
      </c>
      <c r="Z131" s="86" t="inlineStr">
        <is>
          <t>US</t>
        </is>
      </c>
      <c r="AA131" s="88" t="n">
        <v>451969</v>
      </c>
      <c r="AB131" s="88" t="n">
        <v>4094</v>
      </c>
      <c r="AC131" s="96" t="n">
        <v>0.6071584272372669</v>
      </c>
      <c r="AD131" s="96" t="n">
        <v>0.3928415727627336</v>
      </c>
      <c r="AE131" s="32" t="inlineStr">
        <is>
          <t>hotel</t>
        </is>
      </c>
      <c r="AF131" s="96" t="n">
        <v>0.9036371963563873</v>
      </c>
      <c r="AG131" s="96" t="n">
        <v>0.4767871247806819</v>
      </c>
      <c r="AH131" s="96" t="n">
        <v>0.1264024745059949</v>
      </c>
      <c r="AI131" s="96" t="n">
        <v>0.3227168234989568</v>
      </c>
      <c r="AJ131" s="88" t="n">
        <v>1566</v>
      </c>
      <c r="AK131" s="88" t="n">
        <v>614</v>
      </c>
      <c r="AL131" s="88" t="n">
        <v>775</v>
      </c>
      <c r="AM131" s="88" t="n">
        <v>2528</v>
      </c>
      <c r="AN131" s="88" t="n">
        <v>616</v>
      </c>
      <c r="AO131" s="88" t="n">
        <v>111</v>
      </c>
      <c r="AP131" s="97" t="n">
        <v>1.799620493358634</v>
      </c>
      <c r="AQ131" s="92" t="n">
        <v>0.004829621679635077</v>
      </c>
      <c r="AR131" s="98" t="inlineStr">
        <is>
          <t>N</t>
        </is>
      </c>
      <c r="AS131" s="98" t="inlineStr">
        <is>
          <t>none</t>
        </is>
      </c>
      <c r="AT131" s="104" t="n"/>
      <c r="AU131" s="99" t="n">
        <v>79.98999999999999</v>
      </c>
      <c r="AV131" s="98" t="inlineStr">
        <is>
          <t>none</t>
        </is>
      </c>
      <c r="AW131" s="98" t="inlineStr">
        <is>
          <t>Y</t>
        </is>
      </c>
      <c r="AX131" s="98" t="inlineStr">
        <is>
          <t>2026-10-13 12:10:54</t>
        </is>
      </c>
      <c r="AY131" s="100" t="inlineStr">
        <is>
          <t>Price cut only</t>
        </is>
      </c>
      <c r="AZ131" s="100" t="inlineStr">
        <is>
          <t>11-20 to 12-01</t>
        </is>
      </c>
      <c r="BA131" s="101" t="n">
        <v>72.98999999999999</v>
      </c>
      <c r="BB131" s="101" t="n">
        <v>57.99</v>
      </c>
      <c r="BC131" s="90">
        <f>IF(AND(ISNUMBER(BA131),ISNUMBER(BB131),N(BA131)&gt;0),1-BB131/BA131,"")</f>
        <v/>
      </c>
      <c r="BD131" s="102" t="n">
        <v>3871</v>
      </c>
      <c r="BE131" s="102" t="n">
        <v>1703</v>
      </c>
      <c r="BF131" s="103">
        <f>IF(AND(ISNUMBER(BD131),ISNUMBER(BE131),N(BE131)&gt;0),BD131/BE131,"")</f>
        <v/>
      </c>
      <c r="BG131" s="100" t="inlineStr">
        <is>
          <t>N</t>
        </is>
      </c>
      <c r="BH131" s="100" t="inlineStr">
        <is>
          <t>Lightning Deal 11-07 to 11-11; Coupon 20% (11-12 to 12-02); List Price $72.99</t>
        </is>
      </c>
    </row>
    <row r="132" ht="62" customHeight="1">
      <c r="A132" s="10">
        <f>_xlfn.IMAGE("https://images-na.ssl-images-amazon.com/images/I/71AudKmD2JL.jpg")</f>
        <v/>
      </c>
      <c r="B132" s="86" t="inlineStr">
        <is>
          <t>Love's cabin</t>
        </is>
      </c>
      <c r="C132" s="32" t="inlineStr">
        <is>
          <t>Love's cabin 4 Piece Queen Sheet Set, 100% Rayon Derived from Bamboo, Cooling &amp; Breathable, Soft Silky Deep Pocket up to 16", Hotel Luxury Bedding for Hot Sleepers, Beige</t>
        </is>
      </c>
      <c r="D132" s="86" t="inlineStr">
        <is>
          <t>Beatable</t>
        </is>
      </c>
      <c r="E132" s="87" t="inlineStr">
        <is>
          <t>B0DN1GGFL7</t>
        </is>
      </c>
      <c r="F132" s="87" t="inlineStr">
        <is>
          <t>B0DN1DVKH5</t>
        </is>
      </c>
      <c r="G132" s="86" t="inlineStr">
        <is>
          <t>Queen</t>
        </is>
      </c>
      <c r="H132" s="86" t="inlineStr">
        <is>
          <t>Beige</t>
        </is>
      </c>
      <c r="I132" s="88" t="n">
        <v>176</v>
      </c>
      <c r="J132" s="32" t="inlineStr">
        <is>
          <t>B0DN1DVKH5 (43%), B0DN1H6C88 (10%), B0DN1D4YKB (9%), B0DN1H5PQ6 (8%), B0DN1DRRDN (7%)</t>
        </is>
      </c>
      <c r="K132" s="89" t="n">
        <v>37.99</v>
      </c>
      <c r="L132" s="89" t="n">
        <v>44.99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501</v>
      </c>
      <c r="S132" s="88" t="n">
        <v>924</v>
      </c>
      <c r="T132" s="93">
        <f>IF(AND(ISNUMBER(K132),ISNUMBER(S132)),K132*S132*52/12,"")</f>
        <v/>
      </c>
      <c r="U132" s="94" t="n">
        <v>4.4</v>
      </c>
      <c r="V132" s="88" t="n">
        <v>1900</v>
      </c>
      <c r="W132" s="95" t="n">
        <v>46307</v>
      </c>
      <c r="X132" s="95" t="n">
        <v>45694</v>
      </c>
      <c r="Y132" s="86" t="inlineStr">
        <is>
          <t>FBA</t>
        </is>
      </c>
      <c r="Z132" s="86" t="inlineStr">
        <is>
          <t>CN</t>
        </is>
      </c>
      <c r="AA132" s="88" t="n">
        <v>906346</v>
      </c>
      <c r="AB132" s="88" t="n">
        <v>4326</v>
      </c>
      <c r="AC132" s="96" t="n">
        <v>0.9184238707954808</v>
      </c>
      <c r="AD132" s="96" t="n">
        <v>0.08157613626584115</v>
      </c>
      <c r="AE132" s="32" t="inlineStr">
        <is>
          <t>bamboo sheets</t>
        </is>
      </c>
      <c r="AF132" s="96" t="n">
        <v>0.888575665364</v>
      </c>
      <c r="AG132" s="96" t="n">
        <v>0.05086247415446198</v>
      </c>
      <c r="AH132" s="96" t="n"/>
      <c r="AI132" s="96" t="n">
        <v>0.4089034430559632</v>
      </c>
      <c r="AJ132" s="88" t="n">
        <v>1556</v>
      </c>
      <c r="AK132" s="88" t="n">
        <v>267</v>
      </c>
      <c r="AL132" s="88" t="n">
        <v>1198</v>
      </c>
      <c r="AM132" s="88" t="n">
        <v>2770</v>
      </c>
      <c r="AN132" s="88" t="n">
        <v>844</v>
      </c>
      <c r="AO132" s="88" t="n">
        <v>52</v>
      </c>
      <c r="AP132" s="97" t="n">
        <v>0.8953669259384511</v>
      </c>
      <c r="AQ132" s="92" t="n">
        <v>0.5388519228600428</v>
      </c>
      <c r="AR132" s="98" t="inlineStr">
        <is>
          <t>Y</t>
        </is>
      </c>
      <c r="AS132" s="98" t="inlineStr">
        <is>
          <t>List Price</t>
        </is>
      </c>
      <c r="AT132" s="99" t="n">
        <v>44.99</v>
      </c>
      <c r="AU132" s="99" t="n">
        <v>37.99</v>
      </c>
      <c r="AV132" s="98" t="inlineStr">
        <is>
          <t>none</t>
        </is>
      </c>
      <c r="AW132" s="98" t="inlineStr">
        <is>
          <t>Y</t>
        </is>
      </c>
      <c r="AX132" s="98" t="inlineStr">
        <is>
          <t>2026-10-13 12:11:04</t>
        </is>
      </c>
      <c r="AY132" s="100" t="inlineStr">
        <is>
          <t>Prime Exclusive Discount</t>
        </is>
      </c>
      <c r="AZ132" s="100" t="inlineStr">
        <is>
          <t>11-03 to 12-05</t>
        </is>
      </c>
      <c r="BA132" s="101" t="n">
        <v>36.99</v>
      </c>
      <c r="BB132" s="101" t="n">
        <v>29.99</v>
      </c>
      <c r="BC132" s="90">
        <f>IF(AND(ISNUMBER(BA132),ISNUMBER(BB132),N(BA132)&gt;0),1-BB132/BA132,"")</f>
        <v/>
      </c>
      <c r="BD132" s="102" t="n">
        <v>32899</v>
      </c>
      <c r="BE132" s="102" t="n">
        <v>33089</v>
      </c>
      <c r="BF132" s="103">
        <f>IF(AND(ISNUMBER(BD132),ISNUMBER(BE132),N(BE132)&gt;0),BD132/BE132,"")</f>
        <v/>
      </c>
      <c r="BG132" s="100" t="inlineStr">
        <is>
          <t>N</t>
        </is>
      </c>
      <c r="BH132" s="100" t="inlineStr">
        <is>
          <t>Prime Exclusive already running before BFCM week; List Price $49.99</t>
        </is>
      </c>
    </row>
    <row r="133" ht="62" customHeight="1">
      <c r="A133" s="10">
        <f>_xlfn.IMAGE("https://images-na.ssl-images-amazon.com/images/I/61-LBYlR5KL.jpg")</f>
        <v/>
      </c>
      <c r="B133" s="86" t="inlineStr">
        <is>
          <t>KRIMANO</t>
        </is>
      </c>
      <c r="C133" s="32" t="inlineStr">
        <is>
          <t>KRIMANO Bamboo Viscose Sheet Set King Size, Cooling Sheets Bed Set</t>
        </is>
      </c>
      <c r="D133" s="86" t="inlineStr">
        <is>
          <t>Beatable</t>
        </is>
      </c>
      <c r="E133" s="87" t="inlineStr">
        <is>
          <t>B0FT7L9RSX</t>
        </is>
      </c>
      <c r="F133" s="87" t="inlineStr">
        <is>
          <t>B0FT7LZ2CD</t>
        </is>
      </c>
      <c r="G133" s="86" t="inlineStr">
        <is>
          <t>King</t>
        </is>
      </c>
      <c r="H133" s="86" t="inlineStr">
        <is>
          <t>1.navy Blue</t>
        </is>
      </c>
      <c r="I133" s="88" t="n">
        <v>43</v>
      </c>
      <c r="J133" s="32" t="inlineStr">
        <is>
          <t>B0FT7LV7PP (47%), B0FT7LZ2CD (42%)</t>
        </is>
      </c>
      <c r="K133" s="89" t="n">
        <v>79.98999999999999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(King). Ours live: Helium 10 Xray, 2026-10-13; 15 children</t>
        </is>
      </c>
      <c r="R133" s="88" t="n">
        <v>5664</v>
      </c>
      <c r="S133" s="88" t="n">
        <v>185</v>
      </c>
      <c r="T133" s="93">
        <f>IF(AND(ISNUMBER(K133),ISNUMBER(S133)),K133*S133*52/12,"")</f>
        <v/>
      </c>
      <c r="U133" s="94" t="n">
        <v>4.5</v>
      </c>
      <c r="V133" s="88" t="n">
        <v>263</v>
      </c>
      <c r="W133" s="95" t="n">
        <v>46307</v>
      </c>
      <c r="X133" s="95" t="n">
        <v>45944</v>
      </c>
      <c r="Y133" s="86" t="inlineStr">
        <is>
          <t>FBA</t>
        </is>
      </c>
      <c r="Z133" s="86" t="inlineStr">
        <is>
          <t>HK</t>
        </is>
      </c>
      <c r="AA133" s="88" t="n">
        <v>334819</v>
      </c>
      <c r="AB133" s="88" t="n">
        <v>2638</v>
      </c>
      <c r="AC133" s="96" t="n">
        <v>0.6137371774003271</v>
      </c>
      <c r="AD133" s="96" t="n">
        <v>0.3862628512718813</v>
      </c>
      <c r="AE133" s="32" t="inlineStr">
        <is>
          <t>bamboo sheets</t>
        </is>
      </c>
      <c r="AF133" s="96" t="n">
        <v>0.9348573408319122</v>
      </c>
      <c r="AG133" s="96" t="n">
        <v>0.3304382367786775</v>
      </c>
      <c r="AH133" s="96" t="n"/>
      <c r="AI133" s="96" t="n">
        <v>0.007908750698138397</v>
      </c>
      <c r="AJ133" s="88" t="n">
        <v>1426</v>
      </c>
      <c r="AK133" s="88" t="n">
        <v>430</v>
      </c>
      <c r="AL133" s="88" t="n">
        <v>737</v>
      </c>
      <c r="AM133" s="88" t="n">
        <v>1212</v>
      </c>
      <c r="AN133" s="88" t="n">
        <v>238</v>
      </c>
      <c r="AO133" s="88" t="n">
        <v>136</v>
      </c>
      <c r="AP133" s="97" t="n">
        <v>1.312468450277638</v>
      </c>
      <c r="AQ133" s="92" t="n">
        <v>0.2565502183406114</v>
      </c>
      <c r="AR133" s="98" t="inlineStr">
        <is>
          <t>N</t>
        </is>
      </c>
      <c r="AS133" s="98" t="inlineStr">
        <is>
          <t>none</t>
        </is>
      </c>
      <c r="AT133" s="104" t="n"/>
      <c r="AU133" s="99" t="n">
        <v>84.98999999999999</v>
      </c>
      <c r="AV133" s="98" t="inlineStr">
        <is>
          <t>none</t>
        </is>
      </c>
      <c r="AW133" s="98" t="inlineStr">
        <is>
          <t>Y</t>
        </is>
      </c>
      <c r="AX133" s="98" t="inlineStr">
        <is>
          <t>2026-10-13 12:11:00</t>
        </is>
      </c>
      <c r="AY133" s="100" t="inlineStr">
        <is>
          <t>None</t>
        </is>
      </c>
      <c r="AZ133" s="105" t="n"/>
      <c r="BA133" s="101" t="n">
        <v>72.98999999999999</v>
      </c>
      <c r="BB133" s="101" t="n">
        <v>72.98999999999999</v>
      </c>
      <c r="BC133" s="90">
        <f>IF(AND(ISNUMBER(BA133),ISNUMBER(BB133),N(BA133)&gt;0),1-BB133/BA133,"")</f>
        <v/>
      </c>
      <c r="BD133" s="102" t="n">
        <v>1190634</v>
      </c>
      <c r="BE133" s="102" t="n">
        <v>628461</v>
      </c>
      <c r="BF133" s="103">
        <f>IF(AND(ISNUMBER(BD133),ISNUMBER(BE133),N(BE133)&gt;0),BD133/BE133,"")</f>
        <v/>
      </c>
      <c r="BG133" s="100" t="inlineStr">
        <is>
          <t>N</t>
        </is>
      </c>
      <c r="BH133" s="100" t="inlineStr">
        <is>
          <t>List Price $94.89</t>
        </is>
      </c>
    </row>
    <row r="134" ht="62" customHeight="1">
      <c r="A134" s="10">
        <f>_xlfn.IMAGE("https://m.media-amazon.com/images/I/81V9M033qOL._AC_SL1500_.jpg")</f>
        <v/>
      </c>
      <c r="B134" s="86" t="inlineStr">
        <is>
          <t>TRUE BAMBOO</t>
        </is>
      </c>
      <c r="C134" s="32" t="inlineStr">
        <is>
          <t>TRUE BAMBOO Sheets Set King Size - Silky Soft &amp; Cooling - Dark Gray</t>
        </is>
      </c>
      <c r="D134" s="86" t="inlineStr">
        <is>
          <t>Beatable</t>
        </is>
      </c>
      <c r="E134" s="87" t="inlineStr">
        <is>
          <t>B0HHQ97HBL</t>
        </is>
      </c>
      <c r="F134" s="87" t="inlineStr">
        <is>
          <t>B0HD7R5L1D</t>
        </is>
      </c>
      <c r="G134" s="86" t="inlineStr">
        <is>
          <t>Queen</t>
        </is>
      </c>
      <c r="H134" s="86" t="inlineStr">
        <is>
          <t>Dark Gray</t>
        </is>
      </c>
      <c r="I134" s="88" t="n">
        <v>30</v>
      </c>
      <c r="J134" s="32" t="inlineStr">
        <is>
          <t>B0HD7R5L1D (45%), B0H5WYMXJK (28%), B0H7BYKYCD (9%)</t>
        </is>
      </c>
      <c r="K134" s="89" t="n">
        <v>79.98999999999999</v>
      </c>
      <c r="L134" s="89" t="n">
        <v>129.99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5934</v>
      </c>
      <c r="S134" s="88" t="n">
        <v>185</v>
      </c>
      <c r="T134" s="93">
        <f>IF(AND(ISNUMBER(K134),ISNUMBER(S134)),K134*S134*52/12,"")</f>
        <v/>
      </c>
      <c r="U134" s="94" t="n">
        <v>4.6</v>
      </c>
      <c r="V134" s="88" t="n">
        <v>167</v>
      </c>
      <c r="W134" s="95" t="n">
        <v>46307</v>
      </c>
      <c r="X134" s="95" t="n"/>
      <c r="Y134" s="86" t="n"/>
      <c r="Z134" s="86" t="n"/>
      <c r="AA134" s="88" t="n">
        <v>557658</v>
      </c>
      <c r="AB134" s="88" t="n">
        <v>2189</v>
      </c>
      <c r="AC134" s="96" t="n">
        <v>0.518044597943542</v>
      </c>
      <c r="AD134" s="96" t="n">
        <v>0.4819554422244464</v>
      </c>
      <c r="AE134" s="32" t="inlineStr">
        <is>
          <t>king size sheets set</t>
        </is>
      </c>
      <c r="AF134" s="96" t="n">
        <v>0.9807695756180311</v>
      </c>
      <c r="AG134" s="96" t="n">
        <v>0.2157666526795993</v>
      </c>
      <c r="AH134" s="96" t="n"/>
      <c r="AI134" s="96" t="n"/>
      <c r="AJ134" s="88" t="n">
        <v>1291</v>
      </c>
      <c r="AK134" s="88" t="n">
        <v>383</v>
      </c>
      <c r="AL134" s="88" t="n">
        <v>713</v>
      </c>
      <c r="AM134" s="88" t="n">
        <v>898</v>
      </c>
      <c r="AN134" s="88" t="n">
        <v>532</v>
      </c>
      <c r="AO134" s="88" t="n">
        <v>226</v>
      </c>
      <c r="AP134" s="97" t="n"/>
      <c r="AQ134" s="92" t="n"/>
      <c r="AR134" s="98" t="inlineStr">
        <is>
          <t>Y</t>
        </is>
      </c>
      <c r="AS134" s="98" t="inlineStr">
        <is>
          <t>List Price</t>
        </is>
      </c>
      <c r="AT134" s="99" t="n">
        <v>129.99</v>
      </c>
      <c r="AU134" s="99" t="n">
        <v>79.98999999999999</v>
      </c>
      <c r="AV134" s="98" t="inlineStr">
        <is>
          <t>none</t>
        </is>
      </c>
      <c r="AW134" s="98" t="inlineStr">
        <is>
          <t>Y</t>
        </is>
      </c>
      <c r="AX134" s="98" t="inlineStr">
        <is>
          <t>2026-10-13 12:11:32</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_xlfn.IMAGE("https://images-na.ssl-images-amazon.com/images/I/81svKInu7aL.jpg")</f>
        <v/>
      </c>
      <c r="B135" s="86" t="inlineStr">
        <is>
          <t>Bambaw</t>
        </is>
      </c>
      <c r="C135" s="32" t="inlineStr">
        <is>
          <t>Bambaw 100% Viscose Derived from Bamboo Sheets Queen Size Set – 4pcs Cooling Sheet Set, Super Soft Sheets Queen Size, Luxury Bed Sheets, Deep Pocket Fits Up to 16'' Mattresses (Charcoal)</t>
        </is>
      </c>
      <c r="D135" s="86" t="inlineStr">
        <is>
          <t>Beatable</t>
        </is>
      </c>
      <c r="E135" s="87" t="inlineStr">
        <is>
          <t>B07K6SYX8L</t>
        </is>
      </c>
      <c r="F135" s="87" t="inlineStr">
        <is>
          <t>B0DR99Q37Y</t>
        </is>
      </c>
      <c r="G135" s="86" t="inlineStr">
        <is>
          <t>Queen</t>
        </is>
      </c>
      <c r="H135" s="86" t="inlineStr">
        <is>
          <t>Charcoal</t>
        </is>
      </c>
      <c r="I135" s="88" t="n">
        <v>104</v>
      </c>
      <c r="J135" s="32" t="inlineStr">
        <is>
          <t>B0DR99Q37Y (55%), B0DR98VW37 (10%), B0F2J1742T (7%), B0DR98HVG3 (5%), B0H3BQSQ1X (5%)</t>
        </is>
      </c>
      <c r="K135" s="89" t="n">
        <v>89.98999999999999</v>
      </c>
      <c r="L135" s="89" t="n"/>
      <c r="M135" s="90">
        <f>IF(AND(ISNUMBER(L135),ISNUMBER(K135),N(K135)&gt;0),L135/K135-1,"")</f>
        <v/>
      </c>
      <c r="N135" s="91">
        <f>IF(M135="","No List Price",IF(M135&lt;=0,"At/below price",IF(M135&lt;=0.12,"&lt;=12% STR zone",IF(M135&lt;=0.25,"12-25%","&gt;25% over"))))</f>
        <v/>
      </c>
      <c r="O135" s="89" t="n">
        <v>94.98999999999999</v>
      </c>
      <c r="P135" s="92">
        <f>IF(AND(ISNUMBER(K135),ISNUMBER(O135),N(O135)&gt;0),K135/O135-1,"")</f>
        <v/>
      </c>
      <c r="Q135" s="32" t="inlineStr">
        <is>
          <t>Same size (Queen). Ours live: Helium 10 Xray, 2026-10-13; 15 children</t>
        </is>
      </c>
      <c r="R135" s="88" t="n">
        <v>6971</v>
      </c>
      <c r="S135" s="88" t="n">
        <v>104</v>
      </c>
      <c r="T135" s="93">
        <f>IF(AND(ISNUMBER(K135),ISNUMBER(S135)),K135*S135*52/12,"")</f>
        <v/>
      </c>
      <c r="U135" s="94" t="n">
        <v>4.3</v>
      </c>
      <c r="V135" s="88" t="n">
        <v>2766</v>
      </c>
      <c r="W135" s="95" t="n">
        <v>46307</v>
      </c>
      <c r="X135" s="95" t="n">
        <v>45649</v>
      </c>
      <c r="Y135" s="86" t="inlineStr">
        <is>
          <t>FBA</t>
        </is>
      </c>
      <c r="Z135" s="86" t="inlineStr">
        <is>
          <t>BE</t>
        </is>
      </c>
      <c r="AA135" s="88" t="n">
        <v>407949</v>
      </c>
      <c r="AB135" s="88" t="n">
        <v>2137</v>
      </c>
      <c r="AC135" s="96" t="n">
        <v>0.5037485506766772</v>
      </c>
      <c r="AD135" s="96" t="n">
        <v>0.4962515277645003</v>
      </c>
      <c r="AE135" s="32" t="inlineStr">
        <is>
          <t>bamboo sheets</t>
        </is>
      </c>
      <c r="AF135" s="96" t="n">
        <v>0.8267479513370544</v>
      </c>
      <c r="AG135" s="96" t="n">
        <v>0.000431426477329274</v>
      </c>
      <c r="AH135" s="96" t="n">
        <v>0.3636508485129268</v>
      </c>
      <c r="AI135" s="96" t="n">
        <v>0.003414642516589083</v>
      </c>
      <c r="AJ135" s="88" t="n">
        <v>1195</v>
      </c>
      <c r="AK135" s="88" t="n">
        <v>414</v>
      </c>
      <c r="AL135" s="88" t="n">
        <v>680</v>
      </c>
      <c r="AM135" s="88" t="n">
        <v>942</v>
      </c>
      <c r="AN135" s="88" t="n">
        <v>352</v>
      </c>
      <c r="AO135" s="88" t="n">
        <v>135</v>
      </c>
      <c r="AP135" s="97" t="n">
        <v>1.374474053295933</v>
      </c>
      <c r="AQ135" s="92" t="n">
        <v>1.381825760733639</v>
      </c>
      <c r="AR135" s="98" t="inlineStr">
        <is>
          <t>N</t>
        </is>
      </c>
      <c r="AS135" s="98" t="inlineStr">
        <is>
          <t>none</t>
        </is>
      </c>
      <c r="AT135" s="104" t="n"/>
      <c r="AU135" s="99" t="n">
        <v>89.98999999999999</v>
      </c>
      <c r="AV135" s="98" t="inlineStr">
        <is>
          <t>none</t>
        </is>
      </c>
      <c r="AW135" s="98" t="inlineStr">
        <is>
          <t>Y</t>
        </is>
      </c>
      <c r="AX135" s="98" t="inlineStr">
        <is>
          <t>2026-10-13 12:10:28</t>
        </is>
      </c>
      <c r="AY135" s="100" t="inlineStr">
        <is>
          <t>None</t>
        </is>
      </c>
      <c r="AZ135" s="105" t="n"/>
      <c r="BA135" s="101" t="n">
        <v>89.98999999999999</v>
      </c>
      <c r="BB135" s="101" t="n">
        <v>89.98999999999999</v>
      </c>
      <c r="BC135" s="90">
        <f>IF(AND(ISNUMBER(BA135),ISNUMBER(BB135),N(BA135)&gt;0),1-BB135/BA135,"")</f>
        <v/>
      </c>
      <c r="BD135" s="102" t="n">
        <v>12712</v>
      </c>
      <c r="BE135" s="102" t="n">
        <v>10881</v>
      </c>
      <c r="BF135" s="103">
        <f>IF(AND(ISNUMBER(BD135),ISNUMBER(BE135),N(BE135)&gt;0),BD135/BE135,"")</f>
        <v/>
      </c>
      <c r="BG135" s="100" t="inlineStr">
        <is>
          <t>N</t>
        </is>
      </c>
      <c r="BH135" s="100" t="inlineStr">
        <is>
          <t>List Price $103.45</t>
        </is>
      </c>
    </row>
    <row r="136" ht="62" customHeight="1">
      <c r="A136" s="10">
        <f>_xlfn.IMAGE("https://images-na.ssl-images-amazon.com/images/I/81suQgVR0GL.jpg")</f>
        <v/>
      </c>
      <c r="B136" s="86" t="inlineStr">
        <is>
          <t>Bedsure</t>
        </is>
      </c>
      <c r="C136" s="32" t="inlineStr">
        <is>
          <t>Bedsure PureWoven Organically Grown Bamboo Viscose Queen Sheet Set, 4PCS</t>
        </is>
      </c>
      <c r="D136" s="86" t="inlineStr">
        <is>
          <t>Beatable</t>
        </is>
      </c>
      <c r="E136" s="87" t="inlineStr">
        <is>
          <t>B0FB8XS4D1</t>
        </is>
      </c>
      <c r="F136" s="87" t="inlineStr">
        <is>
          <t>B0FB8XR43Q</t>
        </is>
      </c>
      <c r="G136" s="86" t="inlineStr">
        <is>
          <t>Queen</t>
        </is>
      </c>
      <c r="H136" s="86" t="inlineStr">
        <is>
          <t>01 - White</t>
        </is>
      </c>
      <c r="I136" s="88" t="n">
        <v>39</v>
      </c>
      <c r="J136" s="32" t="inlineStr">
        <is>
          <t>B0FB8XR43Q (31%), B0FB8ZTD7M (18%), B0GLN6VP9Y (11%), B0FB8YV6C7 (10%), B0FB8Z4GGW (10%)</t>
        </is>
      </c>
      <c r="K136" s="89" t="n">
        <v>89.98999999999999</v>
      </c>
      <c r="L136" s="89" t="n">
        <v>119.99</v>
      </c>
      <c r="M136" s="90">
        <f>IF(AND(ISNUMBER(L136),ISNUMBER(K136),N(K136)&gt;0),L136/K136-1,"")</f>
        <v/>
      </c>
      <c r="N136" s="91">
        <f>IF(M136="","No List Price",IF(M136&lt;=0,"At/below price",IF(M136&lt;=0.12,"&lt;=12% STR zone",IF(M136&lt;=0.25,"12-25%","&gt;25% over"))))</f>
        <v/>
      </c>
      <c r="O136" s="89" t="n">
        <v>94.98999999999999</v>
      </c>
      <c r="P136" s="92">
        <f>IF(AND(ISNUMBER(K136),ISNUMBER(O136),N(O136)&gt;0),K136/O136-1,"")</f>
        <v/>
      </c>
      <c r="Q136" s="32" t="inlineStr">
        <is>
          <t>Same size (Queen). Ours live: Helium 10 Xray, 2026-10-13; 15 children</t>
        </is>
      </c>
      <c r="R136" s="88" t="n">
        <v>8938</v>
      </c>
      <c r="S136" s="88" t="n">
        <v>104</v>
      </c>
      <c r="T136" s="93">
        <f>IF(AND(ISNUMBER(K136),ISNUMBER(S136)),K136*S136*52/12,"")</f>
        <v/>
      </c>
      <c r="U136" s="94" t="n">
        <v>4.5</v>
      </c>
      <c r="V136" s="88" t="n">
        <v>588</v>
      </c>
      <c r="W136" s="95" t="n">
        <v>46307</v>
      </c>
      <c r="X136" s="95" t="n">
        <v>45936</v>
      </c>
      <c r="Y136" s="86" t="inlineStr">
        <is>
          <t>FBA</t>
        </is>
      </c>
      <c r="Z136" s="86" t="inlineStr">
        <is>
          <t>US</t>
        </is>
      </c>
      <c r="AA136" s="88" t="n">
        <v>840292</v>
      </c>
      <c r="AB136" s="88" t="n">
        <v>3961</v>
      </c>
      <c r="AC136" s="96" t="n">
        <v>0.1404099194089678</v>
      </c>
      <c r="AD136" s="96" t="n">
        <v>0.8595901834124341</v>
      </c>
      <c r="AE136" s="32" t="inlineStr">
        <is>
          <t>bamboo sheets</t>
        </is>
      </c>
      <c r="AF136" s="96" t="n">
        <v>0.9284082199997143</v>
      </c>
      <c r="AG136" s="96" t="n">
        <v>0.9843340172225845</v>
      </c>
      <c r="AH136" s="96" t="n">
        <v>0.5269953777972419</v>
      </c>
      <c r="AI136" s="96" t="n">
        <v>0.000478405125837209</v>
      </c>
      <c r="AJ136" s="88" t="n">
        <v>1544</v>
      </c>
      <c r="AK136" s="88" t="n">
        <v>269</v>
      </c>
      <c r="AL136" s="88" t="n">
        <v>1174</v>
      </c>
      <c r="AM136" s="88" t="n">
        <v>2417</v>
      </c>
      <c r="AN136" s="88" t="n">
        <v>1856</v>
      </c>
      <c r="AO136" s="88" t="n">
        <v>331</v>
      </c>
      <c r="AP136" s="97" t="n">
        <v>1.764832022873481</v>
      </c>
      <c r="AQ136" s="92" t="n">
        <v>-0.09047044632086854</v>
      </c>
      <c r="AR136" s="98" t="inlineStr">
        <is>
          <t>Y</t>
        </is>
      </c>
      <c r="AS136" s="98" t="inlineStr">
        <is>
          <t>List Price</t>
        </is>
      </c>
      <c r="AT136" s="99" t="n">
        <v>119.99</v>
      </c>
      <c r="AU136" s="99" t="n">
        <v>89.98999999999999</v>
      </c>
      <c r="AV136" s="98" t="inlineStr">
        <is>
          <t>none</t>
        </is>
      </c>
      <c r="AW136" s="98" t="inlineStr">
        <is>
          <t>Y</t>
        </is>
      </c>
      <c r="AX136" s="98" t="inlineStr">
        <is>
          <t>2026-10-13 12:10:38</t>
        </is>
      </c>
      <c r="AY136" s="100" t="inlineStr">
        <is>
          <t>Prime Exclusive Discount</t>
        </is>
      </c>
      <c r="AZ136" s="100" t="inlineStr">
        <is>
          <t>11-10 to 12-05</t>
        </is>
      </c>
      <c r="BA136" s="101" t="n">
        <v>99.98999999999999</v>
      </c>
      <c r="BB136" s="101" t="n">
        <v>72.64</v>
      </c>
      <c r="BC136" s="90">
        <f>IF(AND(ISNUMBER(BA136),ISNUMBER(BB136),N(BA136)&gt;0),1-BB136/BA136,"")</f>
        <v/>
      </c>
      <c r="BD136" s="102" t="n">
        <v>53160</v>
      </c>
      <c r="BE136" s="102" t="n">
        <v>53782</v>
      </c>
      <c r="BF136" s="103">
        <f>IF(AND(ISNUMBER(BD136),ISNUMBER(BE136),N(BE136)&gt;0),BD136/BE136,"")</f>
        <v/>
      </c>
      <c r="BG136" s="100" t="inlineStr">
        <is>
          <t>N</t>
        </is>
      </c>
      <c r="BH136" s="100" t="inlineStr">
        <is>
          <t>Prime Exclusive already running before BFCM week; List Price $114.99</t>
        </is>
      </c>
    </row>
    <row r="137" ht="62" customHeight="1">
      <c r="A137" s="10">
        <f>_xlfn.IMAGE("https://images-na.ssl-images-amazon.com/images/I/71sqxa1EquL.jpg")</f>
        <v/>
      </c>
      <c r="B137" s="86" t="inlineStr">
        <is>
          <t>SONORO KATE</t>
        </is>
      </c>
      <c r="C137" s="32" t="inlineStr">
        <is>
          <t>Bamboo Sheets</t>
        </is>
      </c>
      <c r="D137" s="86" t="inlineStr">
        <is>
          <t>Beatable</t>
        </is>
      </c>
      <c r="E137" s="87" t="inlineStr">
        <is>
          <t>B0F4852T9V</t>
        </is>
      </c>
      <c r="F137" s="87" t="inlineStr">
        <is>
          <t>B0F4873G4H</t>
        </is>
      </c>
      <c r="G137" s="86" t="inlineStr">
        <is>
          <t>King</t>
        </is>
      </c>
      <c r="H137" s="86" t="inlineStr">
        <is>
          <t>Dark Grey</t>
        </is>
      </c>
      <c r="I137" s="88" t="n">
        <v>33</v>
      </c>
      <c r="J137" s="32" t="inlineStr">
        <is>
          <t>B0F486MGJ1 (46%), B0F4873G4H (45%)</t>
        </is>
      </c>
      <c r="K137" s="89" t="n">
        <v>79.98999999999999</v>
      </c>
      <c r="L137" s="89" t="n"/>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15 children</t>
        </is>
      </c>
      <c r="R137" s="88" t="n">
        <v>7961</v>
      </c>
      <c r="S137" s="88" t="n">
        <v>104</v>
      </c>
      <c r="T137" s="93">
        <f>IF(AND(ISNUMBER(K137),ISNUMBER(S137)),K137*S137*52/12,"")</f>
        <v/>
      </c>
      <c r="U137" s="94" t="n">
        <v>4.5</v>
      </c>
      <c r="V137" s="88" t="n">
        <v>3776</v>
      </c>
      <c r="W137" s="95" t="n">
        <v>46307</v>
      </c>
      <c r="X137" s="95" t="n"/>
      <c r="Y137" s="86" t="n"/>
      <c r="Z137" s="86" t="n"/>
      <c r="AA137" s="88" t="n">
        <v>185157</v>
      </c>
      <c r="AB137" s="88" t="n">
        <v>1447</v>
      </c>
      <c r="AC137" s="96" t="n">
        <v>0.9776013545261586</v>
      </c>
      <c r="AD137" s="96" t="n">
        <v>0.02239928493116653</v>
      </c>
      <c r="AE137" s="32" t="inlineStr">
        <is>
          <t>bamboo sheets</t>
        </is>
      </c>
      <c r="AF137" s="96" t="n">
        <v>0.4342476924987983</v>
      </c>
      <c r="AG137" s="96" t="n"/>
      <c r="AH137" s="96" t="n"/>
      <c r="AI137" s="96" t="n">
        <v>0.1639959601851402</v>
      </c>
      <c r="AJ137" s="88" t="n">
        <v>924</v>
      </c>
      <c r="AK137" s="88" t="n">
        <v>331</v>
      </c>
      <c r="AL137" s="88" t="n">
        <v>521</v>
      </c>
      <c r="AM137" s="88" t="n">
        <v>523</v>
      </c>
      <c r="AN137" s="88" t="n">
        <v>71</v>
      </c>
      <c r="AO137" s="88" t="n">
        <v>8</v>
      </c>
      <c r="AP137" s="97" t="n">
        <v>1.314808539478143</v>
      </c>
      <c r="AQ137" s="92" t="n">
        <v>0.6186540731995278</v>
      </c>
      <c r="AR137" s="98" t="inlineStr">
        <is>
          <t>N</t>
        </is>
      </c>
      <c r="AS137" s="98" t="inlineStr">
        <is>
          <t>none</t>
        </is>
      </c>
      <c r="AT137" s="104" t="n"/>
      <c r="AU137" s="99" t="n">
        <v>79.98999999999999</v>
      </c>
      <c r="AV137" s="98" t="inlineStr">
        <is>
          <t>coupon $5</t>
        </is>
      </c>
      <c r="AW137" s="98" t="inlineStr">
        <is>
          <t>Y</t>
        </is>
      </c>
      <c r="AX137" s="98" t="inlineStr">
        <is>
          <t>2026-10-13 12:11:19</t>
        </is>
      </c>
      <c r="AY137" s="100" t="inlineStr">
        <is>
          <t>Prime Exclusive Discount</t>
        </is>
      </c>
      <c r="AZ137" s="100" t="inlineStr">
        <is>
          <t>11-20 to 12-01</t>
        </is>
      </c>
      <c r="BA137" s="101" t="n">
        <v>79.98999999999999</v>
      </c>
      <c r="BB137" s="101" t="n">
        <v>63.99</v>
      </c>
      <c r="BC137" s="90">
        <f>IF(AND(ISNUMBER(BA137),ISNUMBER(BB137),N(BA137)&gt;0),1-BB137/BA137,"")</f>
        <v/>
      </c>
      <c r="BD137" s="102" t="n">
        <v>36662</v>
      </c>
      <c r="BE137" s="102" t="n">
        <v>23612</v>
      </c>
      <c r="BF137" s="103">
        <f>IF(AND(ISNUMBER(BD137),ISNUMBER(BE137),N(BE137)&gt;0),BD137/BE137,"")</f>
        <v/>
      </c>
      <c r="BG137" s="100" t="inlineStr">
        <is>
          <t>N</t>
        </is>
      </c>
      <c r="BH137" s="100" t="inlineStr">
        <is>
          <t>Coupon 15% (11-06 to 11-19); List Price $79.99</t>
        </is>
      </c>
    </row>
    <row r="138" ht="62" customHeight="1">
      <c r="A138" s="10">
        <f>_xlfn.IMAGE("https://images-na.ssl-images-amazon.com/images/I/71Pl57-j67L.jpg")</f>
        <v/>
      </c>
      <c r="B138" s="86" t="inlineStr">
        <is>
          <t>BC BELLA COTERIE</t>
        </is>
      </c>
      <c r="C138" s="32" t="inlineStr">
        <is>
          <t>Bella Coterie Luxury Bamboo Viscose King Size Sheet Set</t>
        </is>
      </c>
      <c r="D138" s="86" t="inlineStr">
        <is>
          <t>Beatable</t>
        </is>
      </c>
      <c r="E138" s="87" t="inlineStr">
        <is>
          <t>B0H29V113N</t>
        </is>
      </c>
      <c r="F138" s="87" t="inlineStr">
        <is>
          <t>B08L86VLZB</t>
        </is>
      </c>
      <c r="G138" s="86" t="inlineStr">
        <is>
          <t>King - 2 Pillowcases</t>
        </is>
      </c>
      <c r="H138" s="86" t="inlineStr">
        <is>
          <t>01 - White</t>
        </is>
      </c>
      <c r="I138" s="88" t="n">
        <v>258</v>
      </c>
      <c r="J138" s="32" t="inlineStr">
        <is>
          <t>B0C979FD5Z (12%), B09JTQMF5C (11%), B08L86VLZB (6%), B08L85SV5Z (5%), B09JV1NG9R (4%)</t>
        </is>
      </c>
      <c r="K138" s="89" t="n">
        <v>154.99</v>
      </c>
      <c r="L138" s="89" t="n"/>
      <c r="M138" s="90">
        <f>IF(AND(ISNUMBER(L138),ISNUMBER(K138),N(K138)&gt;0),L138/K138-1,"")</f>
        <v/>
      </c>
      <c r="N138" s="91">
        <f>IF(M138="","No List Price",IF(M138&lt;=0,"At/below price",IF(M138&lt;=0.12,"&lt;=12% STR zone",IF(M138&lt;=0.25,"12-25%","&gt;25% over"))))</f>
        <v/>
      </c>
      <c r="O138" s="89" t="n">
        <v>89.52942359978253</v>
      </c>
      <c r="P138" s="92">
        <f>IF(AND(ISNUMBER(K138),ISNUMBER(O138),N(O138)&gt;0),K138/O138-1,"")</f>
        <v/>
      </c>
      <c r="Q138" s="32" t="inlineStr">
        <is>
          <t>vs our blended price (Command Center, Mar 2026 - STALE)</t>
        </is>
      </c>
      <c r="R138" s="88" t="n">
        <v>1358</v>
      </c>
      <c r="S138" s="88" t="n">
        <v>92</v>
      </c>
      <c r="T138" s="93">
        <f>IF(AND(ISNUMBER(K138),ISNUMBER(S138)),K138*S138*52/12,"")</f>
        <v/>
      </c>
      <c r="U138" s="94" t="n">
        <v>4.4</v>
      </c>
      <c r="V138" s="88" t="n">
        <v>5871</v>
      </c>
      <c r="W138" s="95" t="n">
        <v>46307</v>
      </c>
      <c r="X138" s="95" t="n">
        <v>44154</v>
      </c>
      <c r="Y138" s="86" t="inlineStr">
        <is>
          <t>FBA</t>
        </is>
      </c>
      <c r="Z138" s="86" t="inlineStr">
        <is>
          <t>US</t>
        </is>
      </c>
      <c r="AA138" s="88" t="n">
        <v>591713</v>
      </c>
      <c r="AB138" s="88" t="n">
        <v>5504</v>
      </c>
      <c r="AC138" s="96" t="n">
        <v>0.3622702587234016</v>
      </c>
      <c r="AD138" s="96" t="n">
        <v>0.6377298332130611</v>
      </c>
      <c r="AE138" s="32" t="inlineStr">
        <is>
          <t>bamboo sheets</t>
        </is>
      </c>
      <c r="AF138" s="96" t="n">
        <v>0.9808184035165697</v>
      </c>
      <c r="AG138" s="96" t="n">
        <v>0.5730548424658576</v>
      </c>
      <c r="AH138" s="96" t="n">
        <v>0.5581810776508206</v>
      </c>
      <c r="AI138" s="96" t="n">
        <v>0.03836488297536136</v>
      </c>
      <c r="AJ138" s="88" t="n">
        <v>1707</v>
      </c>
      <c r="AK138" s="88" t="n">
        <v>514</v>
      </c>
      <c r="AL138" s="88" t="n">
        <v>1033</v>
      </c>
      <c r="AM138" s="88" t="n">
        <v>3797</v>
      </c>
      <c r="AN138" s="88" t="n">
        <v>1851</v>
      </c>
      <c r="AO138" s="88" t="n">
        <v>231</v>
      </c>
      <c r="AP138" s="97" t="n">
        <v>1.778087279480037</v>
      </c>
      <c r="AQ138" s="92" t="n">
        <v>0.3772549019607843</v>
      </c>
      <c r="AR138" s="98" t="inlineStr">
        <is>
          <t>N</t>
        </is>
      </c>
      <c r="AS138" s="98" t="inlineStr">
        <is>
          <t>none</t>
        </is>
      </c>
      <c r="AT138" s="104" t="n"/>
      <c r="AU138" s="99" t="n">
        <v>169.99</v>
      </c>
      <c r="AV138" s="98" t="inlineStr">
        <is>
          <t>none</t>
        </is>
      </c>
      <c r="AW138" s="98" t="inlineStr">
        <is>
          <t>Y</t>
        </is>
      </c>
      <c r="AX138" s="98" t="inlineStr">
        <is>
          <t>2026-10-13 12:14:18</t>
        </is>
      </c>
      <c r="AY138" s="100" t="inlineStr">
        <is>
          <t>Price cut only</t>
        </is>
      </c>
      <c r="AZ138" s="100" t="inlineStr">
        <is>
          <t>11-20 to 12-01</t>
        </is>
      </c>
      <c r="BA138" s="101" t="n">
        <v>134.99</v>
      </c>
      <c r="BB138" s="101" t="n">
        <v>110.5</v>
      </c>
      <c r="BC138" s="90">
        <f>IF(AND(ISNUMBER(BA138),ISNUMBER(BB138),N(BA138)&gt;0),1-BB138/BA138,"")</f>
        <v/>
      </c>
      <c r="BD138" s="102" t="n">
        <v>3072</v>
      </c>
      <c r="BE138" s="102" t="n">
        <v>1155</v>
      </c>
      <c r="BF138" s="103">
        <f>IF(AND(ISNUMBER(BD138),ISNUMBER(BE138),N(BE138)&gt;0),BD138/BE138,"")</f>
        <v/>
      </c>
      <c r="BG138" s="100" t="inlineStr">
        <is>
          <t>N</t>
        </is>
      </c>
      <c r="BH138" s="100" t="inlineStr">
        <is>
          <t>Coupon 20.00 USD (12-03 to 12-05); List Price $169.99</t>
        </is>
      </c>
    </row>
    <row r="139" ht="62" customHeight="1">
      <c r="A139" s="10">
        <f>_xlfn.IMAGE("https://images-na.ssl-images-amazon.com/images/I/61fbapIObwL.jpg")</f>
        <v/>
      </c>
      <c r="B139" s="86" t="inlineStr">
        <is>
          <t>BAMPURE</t>
        </is>
      </c>
      <c r="C139" s="32" t="inlineStr">
        <is>
          <t>BAMPURE 100% Rayon from Bamboo Sheets King Size - 4pc Cooling King Sheets</t>
        </is>
      </c>
      <c r="D139" s="86" t="inlineStr">
        <is>
          <t>Beatable</t>
        </is>
      </c>
      <c r="E139" s="87" t="inlineStr">
        <is>
          <t>B0HC778XB4</t>
        </is>
      </c>
      <c r="F139" s="87" t="inlineStr">
        <is>
          <t>B07XFP6BY2</t>
        </is>
      </c>
      <c r="G139" s="86" t="inlineStr">
        <is>
          <t>King</t>
        </is>
      </c>
      <c r="H139" s="86" t="inlineStr">
        <is>
          <t>White</t>
        </is>
      </c>
      <c r="I139" s="88" t="n">
        <v>40</v>
      </c>
      <c r="J139" s="32" t="inlineStr">
        <is>
          <t>B07XBJY2JR (65%), B07XFP6BY2 (21%)</t>
        </is>
      </c>
      <c r="K139" s="89" t="n">
        <v>67.98</v>
      </c>
      <c r="L139" s="89" t="n">
        <v>99.98999999999999</v>
      </c>
      <c r="M139" s="90">
        <f>IF(AND(ISNUMBER(L139),ISNUMBER(K139),N(K139)&gt;0),L139/K139-1,"")</f>
        <v/>
      </c>
      <c r="N139" s="91">
        <f>IF(M139="","No List Price",IF(M139&lt;=0,"At/below price",IF(M139&lt;=0.12,"&lt;=12% STR zone",IF(M139&lt;=0.25,"12-25%","&gt;25% over"))))</f>
        <v/>
      </c>
      <c r="O139" s="89" t="n">
        <v>99.98999999999999</v>
      </c>
      <c r="P139" s="92">
        <f>IF(AND(ISNUMBER(K139),ISNUMBER(O139),N(O139)&gt;0),K139/O139-1,"")</f>
        <v/>
      </c>
      <c r="Q139" s="32" t="inlineStr">
        <is>
          <t>Same size (King). Ours live: Helium 10 Xray, 2026-10-13; 15 children</t>
        </is>
      </c>
      <c r="R139" s="88" t="n">
        <v>14479</v>
      </c>
      <c r="S139" s="88" t="n">
        <v>81</v>
      </c>
      <c r="T139" s="93">
        <f>IF(AND(ISNUMBER(K139),ISNUMBER(S139)),K139*S139*52/12,"")</f>
        <v/>
      </c>
      <c r="U139" s="94" t="n">
        <v>4.4</v>
      </c>
      <c r="V139" s="88" t="n">
        <v>4095</v>
      </c>
      <c r="W139" s="95" t="n">
        <v>46307</v>
      </c>
      <c r="X139" s="95" t="n">
        <v>43776</v>
      </c>
      <c r="Y139" s="86" t="inlineStr">
        <is>
          <t>FBA</t>
        </is>
      </c>
      <c r="Z139" s="86" t="inlineStr">
        <is>
          <t>US</t>
        </is>
      </c>
      <c r="AA139" s="88" t="n">
        <v>67699</v>
      </c>
      <c r="AB139" s="88" t="n">
        <v>1687</v>
      </c>
      <c r="AC139" s="96" t="n">
        <v>0.8589487052984534</v>
      </c>
      <c r="AD139" s="96" t="n">
        <v>0.1410512947015465</v>
      </c>
      <c r="AE139" s="32" t="inlineStr">
        <is>
          <t>bamboo sheets</t>
        </is>
      </c>
      <c r="AF139" s="96" t="n">
        <v>0.9117121375500377</v>
      </c>
      <c r="AG139" s="96" t="n"/>
      <c r="AH139" s="96" t="n"/>
      <c r="AI139" s="96" t="n"/>
      <c r="AJ139" s="88" t="n">
        <v>984</v>
      </c>
      <c r="AK139" s="88" t="n">
        <v>661</v>
      </c>
      <c r="AL139" s="88" t="n">
        <v>167</v>
      </c>
      <c r="AM139" s="88" t="n">
        <v>703</v>
      </c>
      <c r="AN139" s="88" t="n">
        <v>162</v>
      </c>
      <c r="AO139" s="88" t="n">
        <v>52</v>
      </c>
      <c r="AP139" s="97" t="n">
        <v>1.016706443914081</v>
      </c>
      <c r="AQ139" s="92" t="n">
        <v>-0.2868217054263565</v>
      </c>
      <c r="AR139" s="98" t="inlineStr">
        <is>
          <t>Y</t>
        </is>
      </c>
      <c r="AS139" s="98" t="inlineStr">
        <is>
          <t>List Price</t>
        </is>
      </c>
      <c r="AT139" s="99" t="n">
        <v>99.98999999999999</v>
      </c>
      <c r="AU139" s="99" t="n">
        <v>67.98</v>
      </c>
      <c r="AV139" s="98" t="inlineStr">
        <is>
          <t>Limited time deal</t>
        </is>
      </c>
      <c r="AW139" s="98" t="inlineStr">
        <is>
          <t>Y</t>
        </is>
      </c>
      <c r="AX139" s="98" t="inlineStr">
        <is>
          <t>2026-10-13 12:10:12</t>
        </is>
      </c>
      <c r="AY139" s="100" t="inlineStr">
        <is>
          <t>Prime Exclusive Discount</t>
        </is>
      </c>
      <c r="AZ139" s="100" t="inlineStr">
        <is>
          <t>11-22 to 12-01</t>
        </is>
      </c>
      <c r="BA139" s="101" t="n">
        <v>84.98999999999999</v>
      </c>
      <c r="BB139" s="101" t="n">
        <v>79.98999999999999</v>
      </c>
      <c r="BC139" s="90">
        <f>IF(AND(ISNUMBER(BA139),ISNUMBER(BB139),N(BA139)&gt;0),1-BB139/BA139,"")</f>
        <v/>
      </c>
      <c r="BD139" s="102" t="n">
        <v>31768</v>
      </c>
      <c r="BE139" s="102" t="n">
        <v>27833</v>
      </c>
      <c r="BF139" s="103">
        <f>IF(AND(ISNUMBER(BD139),ISNUMBER(BE139),N(BE139)&gt;0),BD139/BE139,"")</f>
        <v/>
      </c>
      <c r="BG139" s="100" t="inlineStr">
        <is>
          <t>N</t>
        </is>
      </c>
      <c r="BH139" s="100" t="inlineStr">
        <is>
          <t>Coupon 5.00 USD (11-01 to 11-04); Buy Box RAISED in BFCM week (median $99.99 vs $84.99 before); List Price $99.99</t>
        </is>
      </c>
    </row>
    <row r="140" ht="62" customHeight="1">
      <c r="A140" s="10">
        <f>_xlfn.IMAGE("https://m.media-amazon.com/images/I/71F+539t2YL._AC_SL1500_.jpg")</f>
        <v/>
      </c>
      <c r="B140" s="86" t="inlineStr">
        <is>
          <t>BEDELITE</t>
        </is>
      </c>
      <c r="C140" s="32" t="inlineStr">
        <is>
          <t>BEDELITE Bamboo Viscose Sheet Set, Queen Size, 4 Pieces, White</t>
        </is>
      </c>
      <c r="D140" s="86" t="inlineStr">
        <is>
          <t>Beatable</t>
        </is>
      </c>
      <c r="E140" s="87" t="inlineStr">
        <is>
          <t>B0GT98GVQN</t>
        </is>
      </c>
      <c r="F140" s="87" t="inlineStr">
        <is>
          <t>B0GT8Z4X5D</t>
        </is>
      </c>
      <c r="G140" s="86" t="inlineStr">
        <is>
          <t>Queen</t>
        </is>
      </c>
      <c r="H140" s="86" t="inlineStr">
        <is>
          <t>White</t>
        </is>
      </c>
      <c r="I140" s="88" t="n">
        <v>8</v>
      </c>
      <c r="J140" s="32" t="inlineStr">
        <is>
          <t>B0GT8Z4X5D (87%)</t>
        </is>
      </c>
      <c r="K140" s="89" t="n">
        <v>84.98</v>
      </c>
      <c r="L140" s="89" t="n">
        <v>99.89</v>
      </c>
      <c r="M140" s="90">
        <f>IF(AND(ISNUMBER(L140),ISNUMBER(K140),N(K140)&gt;0),L140/K140-1,"")</f>
        <v/>
      </c>
      <c r="N140" s="91">
        <f>IF(M140="","No List Price",IF(M140&lt;=0,"At/below price",IF(M140&lt;=0.12,"&lt;=12% STR zone",IF(M140&lt;=0.25,"12-25%","&gt;25% over"))))</f>
        <v/>
      </c>
      <c r="O140" s="89" t="n">
        <v>94.98999999999999</v>
      </c>
      <c r="P140" s="92">
        <f>IF(AND(ISNUMBER(K140),ISNUMBER(O140),N(O140)&gt;0),K140/O140-1,"")</f>
        <v/>
      </c>
      <c r="Q140" s="32" t="inlineStr">
        <is>
          <t>Same size (Queen). Ours live: Helium 10 Xray, 2026-10-13; 15 children</t>
        </is>
      </c>
      <c r="R140" s="88" t="n">
        <v>65907</v>
      </c>
      <c r="S140" s="88" t="n">
        <v>81</v>
      </c>
      <c r="T140" s="93">
        <f>IF(AND(ISNUMBER(K140),ISNUMBER(S140)),K140*S140*52/12,"")</f>
        <v/>
      </c>
      <c r="U140" s="94" t="n">
        <v>4.5</v>
      </c>
      <c r="V140" s="88" t="n">
        <v>113</v>
      </c>
      <c r="W140" s="95" t="n">
        <v>46307</v>
      </c>
      <c r="X140" s="95" t="n"/>
      <c r="Y140" s="86" t="n"/>
      <c r="Z140" s="86" t="n"/>
      <c r="AA140" s="88" t="n">
        <v>212120</v>
      </c>
      <c r="AB140" s="88" t="n">
        <v>1732</v>
      </c>
      <c r="AC140" s="96" t="n">
        <v>0.1115827267584386</v>
      </c>
      <c r="AD140" s="96" t="n">
        <v>0.8884172883273614</v>
      </c>
      <c r="AE140" s="32" t="inlineStr">
        <is>
          <t>queen sheets</t>
        </is>
      </c>
      <c r="AF140" s="96" t="n">
        <v>0.8331840467659816</v>
      </c>
      <c r="AG140" s="96" t="n">
        <v>0.2347161983782765</v>
      </c>
      <c r="AH140" s="96" t="n">
        <v>0.2670893833679049</v>
      </c>
      <c r="AI140" s="96" t="n"/>
      <c r="AJ140" s="88" t="n">
        <v>866</v>
      </c>
      <c r="AK140" s="88" t="n">
        <v>383</v>
      </c>
      <c r="AL140" s="88" t="n">
        <v>428</v>
      </c>
      <c r="AM140" s="88" t="n">
        <v>866</v>
      </c>
      <c r="AN140" s="88" t="n">
        <v>854</v>
      </c>
      <c r="AO140" s="88" t="n">
        <v>156</v>
      </c>
      <c r="AP140" s="97" t="n">
        <v>0.8073654390934845</v>
      </c>
      <c r="AQ140" s="92" t="n">
        <v>0.4972677595628416</v>
      </c>
      <c r="AR140" s="98" t="inlineStr">
        <is>
          <t>Y</t>
        </is>
      </c>
      <c r="AS140" s="98" t="inlineStr">
        <is>
          <t>List Price</t>
        </is>
      </c>
      <c r="AT140" s="99" t="n">
        <v>99.89</v>
      </c>
      <c r="AU140" s="99" t="n">
        <v>84.98</v>
      </c>
      <c r="AV140" s="98" t="inlineStr">
        <is>
          <t>Limited time deal</t>
        </is>
      </c>
      <c r="AW140" s="98" t="inlineStr">
        <is>
          <t>Y</t>
        </is>
      </c>
      <c r="AX140" s="98" t="inlineStr">
        <is>
          <t>2026-10-13 12:10:25</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_xlfn.IMAGE("https://images-na.ssl-images-amazon.com/images/I/71HeTCWM4hL.jpg")</f>
        <v/>
      </c>
      <c r="B141" s="86" t="inlineStr">
        <is>
          <t>SONORO KATE</t>
        </is>
      </c>
      <c r="C141" s="32" t="inlineStr">
        <is>
          <t>SONORO KATE 100% Viscose Derived from Bamboo_Sheets Queen Size,4PC</t>
        </is>
      </c>
      <c r="D141" s="86" t="inlineStr">
        <is>
          <t>Beatable</t>
        </is>
      </c>
      <c r="E141" s="87" t="inlineStr">
        <is>
          <t>B0F29FQLFD</t>
        </is>
      </c>
      <c r="F141" s="87" t="inlineStr">
        <is>
          <t>B0F29F1JM5</t>
        </is>
      </c>
      <c r="G141" s="86" t="inlineStr">
        <is>
          <t>Queen</t>
        </is>
      </c>
      <c r="H141" s="86" t="inlineStr">
        <is>
          <t>Dark Grey</t>
        </is>
      </c>
      <c r="I141" s="88" t="n">
        <v>42</v>
      </c>
      <c r="J141" s="32" t="inlineStr">
        <is>
          <t>B0F29F1JM5 (71%), B0F29HFNNS (19%)</t>
        </is>
      </c>
      <c r="K141" s="89" t="n">
        <v>59.99</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23979</v>
      </c>
      <c r="S141" s="88" t="n">
        <v>81</v>
      </c>
      <c r="T141" s="93">
        <f>IF(AND(ISNUMBER(K141),ISNUMBER(S141)),K141*S141*52/12,"")</f>
        <v/>
      </c>
      <c r="U141" s="94" t="n">
        <v>4.5</v>
      </c>
      <c r="V141" s="88" t="n">
        <v>3911</v>
      </c>
      <c r="W141" s="95" t="n">
        <v>46307</v>
      </c>
      <c r="X141" s="95" t="n">
        <v>45740</v>
      </c>
      <c r="Y141" s="86" t="inlineStr">
        <is>
          <t>FBA</t>
        </is>
      </c>
      <c r="Z141" s="86" t="inlineStr">
        <is>
          <t>CN</t>
        </is>
      </c>
      <c r="AA141" s="88" t="n">
        <v>114504</v>
      </c>
      <c r="AB141" s="88" t="n">
        <v>947</v>
      </c>
      <c r="AC141" s="96" t="n">
        <v>0.8792897182631171</v>
      </c>
      <c r="AD141" s="96" t="n">
        <v>0.1207102817368825</v>
      </c>
      <c r="AE141" s="32" t="inlineStr">
        <is>
          <t>bamboo sheets</t>
        </is>
      </c>
      <c r="AF141" s="96" t="n">
        <v>0.3106878362327953</v>
      </c>
      <c r="AG141" s="96" t="n"/>
      <c r="AH141" s="96" t="n"/>
      <c r="AI141" s="96" t="n">
        <v>0.03587647593097185</v>
      </c>
      <c r="AJ141" s="88" t="n">
        <v>729</v>
      </c>
      <c r="AK141" s="88" t="n">
        <v>324</v>
      </c>
      <c r="AL141" s="88" t="n">
        <v>347</v>
      </c>
      <c r="AM141" s="88" t="n">
        <v>218</v>
      </c>
      <c r="AN141" s="88" t="n">
        <v>59</v>
      </c>
      <c r="AO141" s="88" t="n">
        <v>16</v>
      </c>
      <c r="AP141" s="97" t="n">
        <v>1.095271210013908</v>
      </c>
      <c r="AQ141" s="92" t="n">
        <v>-0.1040240897892143</v>
      </c>
      <c r="AR141" s="98" t="inlineStr">
        <is>
          <t>N</t>
        </is>
      </c>
      <c r="AS141" s="98" t="inlineStr">
        <is>
          <t>none</t>
        </is>
      </c>
      <c r="AT141" s="104" t="n"/>
      <c r="AU141" s="99" t="n">
        <v>59.99</v>
      </c>
      <c r="AV141" s="98" t="inlineStr">
        <is>
          <t>coupon 15%</t>
        </is>
      </c>
      <c r="AW141" s="98" t="inlineStr">
        <is>
          <t>Y</t>
        </is>
      </c>
      <c r="AX141" s="98" t="inlineStr">
        <is>
          <t>2026-10-13 12:11:22</t>
        </is>
      </c>
      <c r="AY141" s="100" t="inlineStr">
        <is>
          <t>Prime Exclusive Discount</t>
        </is>
      </c>
      <c r="AZ141" s="100" t="inlineStr">
        <is>
          <t>11-20 to 12-01</t>
        </is>
      </c>
      <c r="BA141" s="101" t="n">
        <v>59.99</v>
      </c>
      <c r="BB141" s="101" t="n">
        <v>47.99</v>
      </c>
      <c r="BC141" s="90">
        <f>IF(AND(ISNUMBER(BA141),ISNUMBER(BB141),N(BA141)&gt;0),1-BB141/BA141,"")</f>
        <v/>
      </c>
      <c r="BD141" s="102" t="n">
        <v>22774</v>
      </c>
      <c r="BE141" s="102" t="n">
        <v>19002</v>
      </c>
      <c r="BF141" s="103">
        <f>IF(AND(ISNUMBER(BD141),ISNUMBER(BE141),N(BE141)&gt;0),BD141/BE141,"")</f>
        <v/>
      </c>
      <c r="BG141" s="100" t="inlineStr">
        <is>
          <t>N</t>
        </is>
      </c>
      <c r="BH141" s="100" t="inlineStr">
        <is>
          <t>Coupon 10% (11-04 to 12-05); List Price $59.99</t>
        </is>
      </c>
    </row>
    <row r="142" ht="62" customHeight="1">
      <c r="A142" s="10">
        <f>_xlfn.IMAGE("https://m.media-amazon.com/images/I/71fKTruZ7YL._AC_SL1500_.jpg")</f>
        <v/>
      </c>
      <c r="B142" s="86" t="inlineStr">
        <is>
          <t>Davmabcjy</t>
        </is>
      </c>
      <c r="C142" s="32" t="inlineStr">
        <is>
          <t>100% Organically Grown Bamboo Viscose King Sheet Set with Pockets on Side</t>
        </is>
      </c>
      <c r="D142" s="86" t="inlineStr">
        <is>
          <t>Beatable</t>
        </is>
      </c>
      <c r="E142" s="87" t="inlineStr">
        <is>
          <t>B0HJZNMQ5G</t>
        </is>
      </c>
      <c r="F142" s="87" t="inlineStr">
        <is>
          <t>B0GXJYQR7H</t>
        </is>
      </c>
      <c r="G142" s="86" t="inlineStr">
        <is>
          <t>King (Deep Fits 16" )</t>
        </is>
      </c>
      <c r="H142" s="86" t="inlineStr">
        <is>
          <t>Dark Grey-side Pockets</t>
        </is>
      </c>
      <c r="I142" s="88" t="n">
        <v>7</v>
      </c>
      <c r="J142" s="32" t="inlineStr">
        <is>
          <t>B0GXJYQR7H (55%), B0GXJPP4YQ (31%)</t>
        </is>
      </c>
      <c r="K142" s="89" t="n">
        <v>59.99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205508</v>
      </c>
      <c r="S142" s="88" t="n">
        <v>35</v>
      </c>
      <c r="T142" s="93">
        <f>IF(AND(ISNUMBER(K142),ISNUMBER(S142)),K142*S142*52/12,"")</f>
        <v/>
      </c>
      <c r="U142" s="94" t="n">
        <v>4.2</v>
      </c>
      <c r="V142" s="88" t="n">
        <v>81</v>
      </c>
      <c r="W142" s="95" t="n">
        <v>46307</v>
      </c>
      <c r="X142" s="95" t="n"/>
      <c r="Y142" s="86" t="n"/>
      <c r="Z142" s="86" t="n"/>
      <c r="AA142" s="88" t="n">
        <v>75425</v>
      </c>
      <c r="AB142" s="88" t="n">
        <v>1329</v>
      </c>
      <c r="AC142" s="96" t="n">
        <v>0.8470417779250914</v>
      </c>
      <c r="AD142" s="96" t="n">
        <v>0.1529598766987073</v>
      </c>
      <c r="AE142" s="32" t="inlineStr">
        <is>
          <t>bamboo sheets</t>
        </is>
      </c>
      <c r="AF142" s="96" t="n">
        <v>0.4214782896917468</v>
      </c>
      <c r="AG142" s="96" t="n"/>
      <c r="AH142" s="96" t="n"/>
      <c r="AI142" s="96" t="n">
        <v>0.01059330460722572</v>
      </c>
      <c r="AJ142" s="88" t="n">
        <v>783</v>
      </c>
      <c r="AK142" s="88" t="n">
        <v>332</v>
      </c>
      <c r="AL142" s="88" t="n">
        <v>367</v>
      </c>
      <c r="AM142" s="88" t="n">
        <v>546</v>
      </c>
      <c r="AN142" s="88" t="n">
        <v>285</v>
      </c>
      <c r="AO142" s="88" t="n">
        <v>30</v>
      </c>
      <c r="AP142" s="97" t="n"/>
      <c r="AQ142" s="92" t="n"/>
      <c r="AR142" s="98" t="inlineStr">
        <is>
          <t>N</t>
        </is>
      </c>
      <c r="AS142" s="98" t="inlineStr">
        <is>
          <t>none</t>
        </is>
      </c>
      <c r="AT142" s="104" t="n"/>
      <c r="AU142" s="99" t="n">
        <v>59.99</v>
      </c>
      <c r="AV142" s="98" t="inlineStr">
        <is>
          <t>none</t>
        </is>
      </c>
      <c r="AW142" s="98" t="inlineStr">
        <is>
          <t>Y</t>
        </is>
      </c>
      <c r="AX142" s="98" t="inlineStr">
        <is>
          <t>2026-10-13 12:10:48</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_xlfn.IMAGE("https://images-na.ssl-images-amazon.com/images/I/710aWpCd4AL.jpg")</f>
        <v/>
      </c>
      <c r="B143" s="86" t="inlineStr">
        <is>
          <t>DOZ by SIJO</t>
        </is>
      </c>
      <c r="C143" s="32" t="inlineStr">
        <is>
          <t>Bamboo Sheets</t>
        </is>
      </c>
      <c r="D143" s="86" t="inlineStr">
        <is>
          <t>Beatable</t>
        </is>
      </c>
      <c r="E143" s="87" t="inlineStr">
        <is>
          <t>B0DCZGYVZ9</t>
        </is>
      </c>
      <c r="F143" s="87" t="inlineStr">
        <is>
          <t>B0F24TRXCZ</t>
        </is>
      </c>
      <c r="G143" s="86" t="inlineStr">
        <is>
          <t>Queen</t>
        </is>
      </c>
      <c r="H143" s="86" t="inlineStr">
        <is>
          <t>Olive</t>
        </is>
      </c>
      <c r="I143" s="88" t="n">
        <v>131</v>
      </c>
      <c r="J143" s="32" t="inlineStr">
        <is>
          <t>B0B8JLLT45 (39%), B0B8JK78HR (6%), B0CS36MKM9 (5%), B0BRWD6PRK (4%), B0B9T44SJV (4%)</t>
        </is>
      </c>
      <c r="K143" s="89" t="n">
        <v>55</v>
      </c>
      <c r="L143" s="89" t="n"/>
      <c r="M143" s="90">
        <f>IF(AND(ISNUMBER(L143),ISNUMBER(K143),N(K143)&gt;0),L143/K143-1,"")</f>
        <v/>
      </c>
      <c r="N143" s="91">
        <f>IF(M143="","No List Price",IF(M143&lt;=0,"At/below price",IF(M143&lt;=0.12,"&lt;=12% STR zone",IF(M143&lt;=0.25,"12-25%","&gt;25% over"))))</f>
        <v/>
      </c>
      <c r="O143" s="89" t="n">
        <v>94.98999999999999</v>
      </c>
      <c r="P143" s="92">
        <f>IF(AND(ISNUMBER(K143),ISNUMBER(O143),N(O143)&gt;0),K143/O143-1,"")</f>
        <v/>
      </c>
      <c r="Q143" s="32" t="inlineStr">
        <is>
          <t>Same size (Queen). Ours live: Helium 10 Xray, 2026-10-13; 15 children</t>
        </is>
      </c>
      <c r="R143" s="88" t="n">
        <v>4051</v>
      </c>
      <c r="S143" s="88" t="n">
        <v>35</v>
      </c>
      <c r="T143" s="93">
        <f>IF(AND(ISNUMBER(K143),ISNUMBER(S143)),K143*S143*52/12,"")</f>
        <v/>
      </c>
      <c r="U143" s="94" t="n">
        <v>4.4</v>
      </c>
      <c r="V143" s="88" t="n">
        <v>1909</v>
      </c>
      <c r="W143" s="95" t="n">
        <v>46307</v>
      </c>
      <c r="X143" s="95" t="n"/>
      <c r="Y143" s="86" t="n"/>
      <c r="Z143" s="86" t="n"/>
      <c r="AA143" s="88" t="n">
        <v>171534</v>
      </c>
      <c r="AB143" s="88" t="n">
        <v>2682</v>
      </c>
      <c r="AC143" s="96" t="n">
        <v>0.5544749851341424</v>
      </c>
      <c r="AD143" s="96" t="n">
        <v>0.4455250335210511</v>
      </c>
      <c r="AE143" s="32" t="inlineStr">
        <is>
          <t>bamboo sheets</t>
        </is>
      </c>
      <c r="AF143" s="96" t="n">
        <v>0.8981426422750008</v>
      </c>
      <c r="AG143" s="96" t="n">
        <v>0.06748516329124256</v>
      </c>
      <c r="AH143" s="96" t="n">
        <v>0.2462310678932456</v>
      </c>
      <c r="AI143" s="96" t="n">
        <v>0.0526193057936036</v>
      </c>
      <c r="AJ143" s="88" t="n">
        <v>1223</v>
      </c>
      <c r="AK143" s="88" t="n">
        <v>462</v>
      </c>
      <c r="AL143" s="88" t="n">
        <v>649</v>
      </c>
      <c r="AM143" s="88" t="n">
        <v>1459</v>
      </c>
      <c r="AN143" s="88" t="n">
        <v>549</v>
      </c>
      <c r="AO143" s="88" t="n">
        <v>114</v>
      </c>
      <c r="AP143" s="97" t="n"/>
      <c r="AQ143" s="92" t="n"/>
      <c r="AR143" s="98" t="inlineStr">
        <is>
          <t>N</t>
        </is>
      </c>
      <c r="AS143" s="98" t="inlineStr">
        <is>
          <t>none</t>
        </is>
      </c>
      <c r="AT143" s="104" t="n"/>
      <c r="AU143" s="99" t="n">
        <v>55</v>
      </c>
      <c r="AV143" s="98" t="inlineStr">
        <is>
          <t>none</t>
        </is>
      </c>
      <c r="AW143" s="98" t="inlineStr">
        <is>
          <t>Y</t>
        </is>
      </c>
      <c r="AX143" s="98" t="inlineStr">
        <is>
          <t>2026-10-13 12:10:45</t>
        </is>
      </c>
      <c r="AY143" s="100" t="inlineStr">
        <is>
          <t>None</t>
        </is>
      </c>
      <c r="AZ143" s="105" t="n"/>
      <c r="BA143" s="101" t="n">
        <v>55</v>
      </c>
      <c r="BB143" s="101" t="n">
        <v>55</v>
      </c>
      <c r="BC143" s="90">
        <f>IF(AND(ISNUMBER(BA143),ISNUMBER(BB143),N(BA143)&gt;0),1-BB143/BA143,"")</f>
        <v/>
      </c>
      <c r="BD143" s="102" t="n">
        <v>3634538</v>
      </c>
      <c r="BE143" s="102" t="n">
        <v>3088925</v>
      </c>
      <c r="BF143" s="103">
        <f>IF(AND(ISNUMBER(BD143),ISNUMBER(BE143),N(BE143)&gt;0),BD143/BE143,"")</f>
        <v/>
      </c>
      <c r="BG143" s="100" t="inlineStr">
        <is>
          <t>N</t>
        </is>
      </c>
      <c r="BH143" s="100" t="inlineStr">
        <is>
          <t>List Price $55.00</t>
        </is>
      </c>
    </row>
    <row r="144" ht="62" customHeight="1">
      <c r="A144" s="10">
        <f>_xlfn.IMAGE("https://images-na.ssl-images-amazon.com/images/I/81EdgN1LRmL.jpg")</f>
        <v/>
      </c>
      <c r="B144" s="86" t="inlineStr">
        <is>
          <t>GOKOTTA</t>
        </is>
      </c>
      <c r="C144" s="32" t="inlineStr">
        <is>
          <t>GOKOTTA King Bamboo Rayon Sheets Set, Silky Soft Cooling Sheets Stay Put</t>
        </is>
      </c>
      <c r="D144" s="86" t="inlineStr">
        <is>
          <t>Beatable</t>
        </is>
      </c>
      <c r="E144" s="87" t="inlineStr">
        <is>
          <t>B09WV7RN1V</t>
        </is>
      </c>
      <c r="F144" s="87" t="inlineStr">
        <is>
          <t>B0BR53P7DY</t>
        </is>
      </c>
      <c r="G144" s="86" t="inlineStr">
        <is>
          <t>King - 4 PCS</t>
        </is>
      </c>
      <c r="H144" s="86" t="inlineStr">
        <is>
          <t>00 Bright White</t>
        </is>
      </c>
      <c r="I144" s="88" t="n">
        <v>99</v>
      </c>
      <c r="J144" s="32" t="inlineStr">
        <is>
          <t>B0B6VQC7LD (30%), B0BR53P7DY (17%), B07TYC979L (10%), B0BL77QB6N (9%), B0FW3T96RQ (7%)</t>
        </is>
      </c>
      <c r="K144" s="89" t="n">
        <v>109</v>
      </c>
      <c r="L144" s="89" t="n"/>
      <c r="M144" s="90">
        <f>IF(AND(ISNUMBER(L144),ISNUMBER(K144),N(K144)&gt;0),L144/K144-1,"")</f>
        <v/>
      </c>
      <c r="N144" s="91">
        <f>IF(M144="","No List Price",IF(M144&lt;=0,"At/below price",IF(M144&lt;=0.12,"&lt;=12% STR zone",IF(M144&lt;=0.25,"12-25%","&gt;25% over"))))</f>
        <v/>
      </c>
      <c r="O144" s="89" t="n">
        <v>89.52942359978253</v>
      </c>
      <c r="P144" s="92">
        <f>IF(AND(ISNUMBER(K144),ISNUMBER(O144),N(O144)&gt;0),K144/O144-1,"")</f>
        <v/>
      </c>
      <c r="Q144" s="32" t="inlineStr">
        <is>
          <t>vs our blended price (Command Center, Mar 2026 - STALE)</t>
        </is>
      </c>
      <c r="R144" s="88" t="n">
        <v>16154</v>
      </c>
      <c r="S144" s="88" t="n">
        <v>35</v>
      </c>
      <c r="T144" s="93">
        <f>IF(AND(ISNUMBER(K144),ISNUMBER(S144)),K144*S144*52/12,"")</f>
        <v/>
      </c>
      <c r="U144" s="94" t="n">
        <v>4.4</v>
      </c>
      <c r="V144" s="88" t="n">
        <v>3371</v>
      </c>
      <c r="W144" s="95" t="n">
        <v>46307</v>
      </c>
      <c r="X144" s="95" t="n">
        <v>44922</v>
      </c>
      <c r="Y144" s="86" t="inlineStr">
        <is>
          <t>FBA</t>
        </is>
      </c>
      <c r="Z144" s="86" t="inlineStr">
        <is>
          <t>TH</t>
        </is>
      </c>
      <c r="AA144" s="88" t="n">
        <v>76017</v>
      </c>
      <c r="AB144" s="88" t="n">
        <v>1577</v>
      </c>
      <c r="AC144" s="96" t="n">
        <v>0.8206756843863878</v>
      </c>
      <c r="AD144" s="96" t="n">
        <v>0.1793245681886948</v>
      </c>
      <c r="AE144" s="32" t="inlineStr">
        <is>
          <t>bamboo sheets</t>
        </is>
      </c>
      <c r="AF144" s="96" t="n">
        <v>0.9048633858215925</v>
      </c>
      <c r="AG144" s="96" t="n">
        <v>0.08220529618374837</v>
      </c>
      <c r="AH144" s="96" t="n">
        <v>0.8497046713235198</v>
      </c>
      <c r="AI144" s="96" t="n">
        <v>0.03862293960561453</v>
      </c>
      <c r="AJ144" s="88" t="n">
        <v>754</v>
      </c>
      <c r="AK144" s="88" t="n">
        <v>491</v>
      </c>
      <c r="AL144" s="88" t="n">
        <v>167</v>
      </c>
      <c r="AM144" s="88" t="n">
        <v>823</v>
      </c>
      <c r="AN144" s="88" t="n">
        <v>218</v>
      </c>
      <c r="AO144" s="88" t="n">
        <v>71</v>
      </c>
      <c r="AP144" s="97" t="n"/>
      <c r="AQ144" s="92" t="n"/>
      <c r="AR144" s="98" t="inlineStr">
        <is>
          <t>N</t>
        </is>
      </c>
      <c r="AS144" s="98" t="inlineStr">
        <is>
          <t>none</t>
        </is>
      </c>
      <c r="AT144" s="104" t="n"/>
      <c r="AU144" s="99" t="n">
        <v>109</v>
      </c>
      <c r="AV144" s="98" t="inlineStr">
        <is>
          <t>none</t>
        </is>
      </c>
      <c r="AW144" s="98" t="inlineStr">
        <is>
          <t>Y</t>
        </is>
      </c>
      <c r="AX144" s="98" t="inlineStr">
        <is>
          <t>2026-10-13 12:10:51</t>
        </is>
      </c>
      <c r="AY144" s="100" t="inlineStr">
        <is>
          <t>Price cut only</t>
        </is>
      </c>
      <c r="AZ144" s="100" t="inlineStr">
        <is>
          <t>11-20 to 12-01</t>
        </is>
      </c>
      <c r="BA144" s="101" t="n">
        <v>105</v>
      </c>
      <c r="BB144" s="101" t="n">
        <v>84</v>
      </c>
      <c r="BC144" s="90">
        <f>IF(AND(ISNUMBER(BA144),ISNUMBER(BB144),N(BA144)&gt;0),1-BB144/BA144,"")</f>
        <v/>
      </c>
      <c r="BD144" s="102" t="n">
        <v>20103</v>
      </c>
      <c r="BE144" s="102" t="n">
        <v>13630</v>
      </c>
      <c r="BF144" s="103">
        <f>IF(AND(ISNUMBER(BD144),ISNUMBER(BE144),N(BE144)&gt;0),BD144/BE144,"")</f>
        <v/>
      </c>
      <c r="BG144" s="100" t="inlineStr">
        <is>
          <t>N</t>
        </is>
      </c>
      <c r="BH144" s="100" t="inlineStr">
        <is>
          <t>Lightning Deal 11-09 to 11-09; Coupon 10.00 USD, 20.00 USD (11-02 to 11-18); List Price $105.00</t>
        </is>
      </c>
    </row>
    <row r="145" ht="62" customHeight="1">
      <c r="A145" s="10">
        <f>_xlfn.IMAGE("https://images-na.ssl-images-amazon.com/images/I/71rcYip7GcL.jpg")</f>
        <v/>
      </c>
      <c r="B145" s="86" t="inlineStr">
        <is>
          <t>KARISSA MAE</t>
        </is>
      </c>
      <c r="C145" s="32" t="inlineStr">
        <is>
          <t>Cooling Sheets</t>
        </is>
      </c>
      <c r="D145" s="86" t="inlineStr">
        <is>
          <t>Beatable</t>
        </is>
      </c>
      <c r="E145" s="87" t="inlineStr">
        <is>
          <t>B0GT172Y8L</t>
        </is>
      </c>
      <c r="F145" s="87" t="inlineStr">
        <is>
          <t>B0G1CSCQTB</t>
        </is>
      </c>
      <c r="G145" s="86" t="inlineStr">
        <is>
          <t>King - 2 Pillowcases</t>
        </is>
      </c>
      <c r="H145" s="86" t="inlineStr">
        <is>
          <t>10 - Mocha</t>
        </is>
      </c>
      <c r="I145" s="88" t="n">
        <v>138</v>
      </c>
      <c r="J145" s="32" t="inlineStr">
        <is>
          <t>B0F9X7MV5B (14%), B0G1CSCQTB (10%), B0F9X8BNQB (7%), B0F9X6KTQW (6%), B0GH24C6XY (6%)</t>
        </is>
      </c>
      <c r="K145" s="89" t="n">
        <v>119.99</v>
      </c>
      <c r="L145" s="89" t="n"/>
      <c r="M145" s="90">
        <f>IF(AND(ISNUMBER(L145),ISNUMBER(K145),N(K145)&gt;0),L145/K145-1,"")</f>
        <v/>
      </c>
      <c r="N145" s="91">
        <f>IF(M145="","No List Price",IF(M145&lt;=0,"At/below price",IF(M145&lt;=0.12,"&lt;=12% STR zone",IF(M145&lt;=0.25,"12-25%","&gt;25% over"))))</f>
        <v/>
      </c>
      <c r="O145" s="89" t="n">
        <v>89.52942359978253</v>
      </c>
      <c r="P145" s="92">
        <f>IF(AND(ISNUMBER(K145),ISNUMBER(O145),N(O145)&gt;0),K145/O145-1,"")</f>
        <v/>
      </c>
      <c r="Q145" s="32" t="inlineStr">
        <is>
          <t>vs our blended price (Command Center, Mar 2026 - STALE)</t>
        </is>
      </c>
      <c r="R145" s="88" t="n">
        <v>15914</v>
      </c>
      <c r="S145" s="88" t="n">
        <v>35</v>
      </c>
      <c r="T145" s="93">
        <f>IF(AND(ISNUMBER(K145),ISNUMBER(S145)),K145*S145*52/12,"")</f>
        <v/>
      </c>
      <c r="U145" s="94" t="n">
        <v>4.3</v>
      </c>
      <c r="V145" s="88" t="n">
        <v>474</v>
      </c>
      <c r="W145" s="95" t="n">
        <v>46307</v>
      </c>
      <c r="X145" s="95" t="n"/>
      <c r="Y145" s="86" t="n"/>
      <c r="Z145" s="86" t="n"/>
      <c r="AA145" s="88" t="n">
        <v>243610</v>
      </c>
      <c r="AB145" s="88" t="n">
        <v>3715</v>
      </c>
      <c r="AC145" s="96" t="n">
        <v>0.1385290000410493</v>
      </c>
      <c r="AD145" s="96" t="n">
        <v>0.8614710525019491</v>
      </c>
      <c r="AE145" s="32" t="inlineStr">
        <is>
          <t>bamboo sheets</t>
        </is>
      </c>
      <c r="AF145" s="96" t="n">
        <v>0.9938303025327367</v>
      </c>
      <c r="AG145" s="96" t="n">
        <v>0.0306883953860679</v>
      </c>
      <c r="AH145" s="96" t="n">
        <v>0.01590657197980378</v>
      </c>
      <c r="AI145" s="96" t="n"/>
      <c r="AJ145" s="88" t="n">
        <v>1526</v>
      </c>
      <c r="AK145" s="88" t="n">
        <v>772</v>
      </c>
      <c r="AL145" s="88" t="n">
        <v>551</v>
      </c>
      <c r="AM145" s="88" t="n">
        <v>2189</v>
      </c>
      <c r="AN145" s="88" t="n">
        <v>1255</v>
      </c>
      <c r="AO145" s="88" t="n">
        <v>261</v>
      </c>
      <c r="AP145" s="97" t="n">
        <v>2.102564102564103</v>
      </c>
      <c r="AQ145" s="92" t="n">
        <v>-0.8771186440677966</v>
      </c>
      <c r="AR145" s="98" t="inlineStr">
        <is>
          <t>N</t>
        </is>
      </c>
      <c r="AS145" s="98" t="inlineStr">
        <is>
          <t>none</t>
        </is>
      </c>
      <c r="AT145" s="104" t="n"/>
      <c r="AU145" s="99" t="n">
        <v>119.99</v>
      </c>
      <c r="AV145" s="98" t="inlineStr">
        <is>
          <t>none</t>
        </is>
      </c>
      <c r="AW145" s="98" t="inlineStr">
        <is>
          <t>Y</t>
        </is>
      </c>
      <c r="AX145" s="98" t="inlineStr">
        <is>
          <t>2026-10-13 12:10:57</t>
        </is>
      </c>
      <c r="AY145" s="105" t="n"/>
      <c r="AZ145" s="105" t="n"/>
      <c r="BA145" s="104" t="n"/>
      <c r="BB145" s="104" t="n"/>
      <c r="BC145" s="90">
        <f>IF(AND(ISNUMBER(BA145),ISNUMBER(BB145),N(BA145)&gt;0),1-BB145/BA145,"")</f>
        <v/>
      </c>
      <c r="BD145" s="106" t="n"/>
      <c r="BE145" s="106" t="n"/>
      <c r="BF145" s="103">
        <f>IF(AND(ISNUMBER(BD145),ISNUMBER(BE145),N(BE145)&gt;0),BD145/BE145,"")</f>
        <v/>
      </c>
      <c r="BG145" s="105" t="n"/>
      <c r="BH145" s="100" t="inlineStr">
        <is>
          <t>No Buy Box history in Keepa for BFCM 2025</t>
        </is>
      </c>
    </row>
    <row r="146" ht="62" customHeight="1">
      <c r="A146" s="10">
        <f>_xlfn.IMAGE("https://m.media-amazon.com/images/I/71vDRpdS5DL._AC_SL1500_.jpg")</f>
        <v/>
      </c>
      <c r="B146" s="86" t="inlineStr">
        <is>
          <t>Pillcase</t>
        </is>
      </c>
      <c r="C146" s="32" t="inlineStr">
        <is>
          <t>100% Real Bamboo Viscose &amp; Lyocell Tencel Sheets Set Queen Size | Breathable &amp; C</t>
        </is>
      </c>
      <c r="D146" s="86" t="inlineStr">
        <is>
          <t>Beatable</t>
        </is>
      </c>
      <c r="E146" s="87" t="inlineStr">
        <is>
          <t>B0H1GGHHVN</t>
        </is>
      </c>
      <c r="F146" s="87" t="inlineStr">
        <is>
          <t>B0HFZQRXXQ</t>
        </is>
      </c>
      <c r="G146" s="86" t="inlineStr">
        <is>
          <t>Queen</t>
        </is>
      </c>
      <c r="H146" s="86" t="inlineStr">
        <is>
          <t>French Blue</t>
        </is>
      </c>
      <c r="I146" s="88" t="n">
        <v>20</v>
      </c>
      <c r="J146" s="32" t="inlineStr">
        <is>
          <t>B0H9K6WK34 (27%), B0H1GVML4Z (24%), B0HFXGSDF1 (22%), B0HBX793L8 (12%)</t>
        </is>
      </c>
      <c r="K146" s="89" t="n">
        <v>79</v>
      </c>
      <c r="L146" s="89" t="n">
        <v>109</v>
      </c>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28003</v>
      </c>
      <c r="S146" s="88" t="n">
        <v>35</v>
      </c>
      <c r="T146" s="93">
        <f>IF(AND(ISNUMBER(K146),ISNUMBER(S146)),K146*S146*52/12,"")</f>
        <v/>
      </c>
      <c r="U146" s="94" t="n">
        <v>4.8</v>
      </c>
      <c r="V146" s="88" t="n">
        <v>279</v>
      </c>
      <c r="W146" s="95" t="n">
        <v>46307</v>
      </c>
      <c r="X146" s="95" t="n"/>
      <c r="Y146" s="86" t="n"/>
      <c r="Z146" s="86" t="n"/>
      <c r="AA146" s="88" t="n">
        <v>216953</v>
      </c>
      <c r="AB146" s="88" t="n">
        <v>1218</v>
      </c>
      <c r="AC146" s="96" t="n">
        <v>0.9703615419007803</v>
      </c>
      <c r="AD146" s="96" t="n">
        <v>0.02963845809921965</v>
      </c>
      <c r="AE146" s="32" t="inlineStr">
        <is>
          <t>king size sheets set</t>
        </is>
      </c>
      <c r="AF146" s="96" t="n">
        <v>0.1820394278945209</v>
      </c>
      <c r="AG146" s="96" t="n"/>
      <c r="AH146" s="96" t="n"/>
      <c r="AI146" s="96" t="n">
        <v>0.01302125345120833</v>
      </c>
      <c r="AJ146" s="88" t="n">
        <v>879</v>
      </c>
      <c r="AK146" s="88" t="n">
        <v>316</v>
      </c>
      <c r="AL146" s="88" t="n">
        <v>488</v>
      </c>
      <c r="AM146" s="88" t="n">
        <v>339</v>
      </c>
      <c r="AN146" s="88" t="n">
        <v>8</v>
      </c>
      <c r="AO146" s="88" t="n">
        <v>3</v>
      </c>
      <c r="AP146" s="97" t="n"/>
      <c r="AQ146" s="92" t="n"/>
      <c r="AR146" s="98" t="inlineStr">
        <is>
          <t>Y</t>
        </is>
      </c>
      <c r="AS146" s="98" t="inlineStr">
        <is>
          <t>List Price</t>
        </is>
      </c>
      <c r="AT146" s="99" t="n">
        <v>109</v>
      </c>
      <c r="AU146" s="99" t="n">
        <v>79</v>
      </c>
      <c r="AV146" s="98" t="inlineStr">
        <is>
          <t>none</t>
        </is>
      </c>
      <c r="AW146" s="98" t="inlineStr">
        <is>
          <t>Y</t>
        </is>
      </c>
      <c r="AX146" s="98" t="inlineStr">
        <is>
          <t>2026-10-13 12:11:07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_xlfn.IMAGE("https://m.media-amazon.com/images/I/71sMGbbi-RL._AC_SL1500_.jpg")</f>
        <v/>
      </c>
      <c r="B147" s="86" t="inlineStr">
        <is>
          <t>Bamboo Bay</t>
        </is>
      </c>
      <c r="C147" s="32" t="inlineStr">
        <is>
          <t>Bamboo Bay 4 Piece Queen Size Sheet Set, 100% Viscose Made from Bamboo, Breathab</t>
        </is>
      </c>
      <c r="D147" s="86" t="inlineStr">
        <is>
          <t>Beatable</t>
        </is>
      </c>
      <c r="E147" s="87" t="inlineStr">
        <is>
          <t>B0DLD8982V</t>
        </is>
      </c>
      <c r="F147" s="87" t="inlineStr">
        <is>
          <t>B08M9QK14J</t>
        </is>
      </c>
      <c r="G147" s="86" t="inlineStr">
        <is>
          <t>Queen</t>
        </is>
      </c>
      <c r="H147" s="86" t="inlineStr">
        <is>
          <t>01 - White</t>
        </is>
      </c>
      <c r="I147" s="88" t="n">
        <v>20</v>
      </c>
      <c r="J147" s="32" t="inlineStr">
        <is>
          <t>B08M9QK14J (86%)</t>
        </is>
      </c>
      <c r="K147" s="89" t="n">
        <v>89.98</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263209</v>
      </c>
      <c r="S147" s="88" t="n">
        <v>18</v>
      </c>
      <c r="T147" s="93">
        <f>IF(AND(ISNUMBER(K147),ISNUMBER(S147)),K147*S147*52/12,"")</f>
        <v/>
      </c>
      <c r="U147" s="94" t="n">
        <v>4.4</v>
      </c>
      <c r="V147" s="88" t="n">
        <v>739</v>
      </c>
      <c r="W147" s="95" t="n">
        <v>46307</v>
      </c>
      <c r="X147" s="95" t="n"/>
      <c r="Y147" s="86" t="n"/>
      <c r="Z147" s="86" t="n"/>
      <c r="AA147" s="88" t="n">
        <v>67928</v>
      </c>
      <c r="AB147" s="88" t="n">
        <v>1037</v>
      </c>
      <c r="AC147" s="96" t="n">
        <v>0.313496176834295</v>
      </c>
      <c r="AD147" s="96" t="n">
        <v>0.6865047653397713</v>
      </c>
      <c r="AE147" s="32" t="inlineStr">
        <is>
          <t>bamboo sheets</t>
        </is>
      </c>
      <c r="AF147" s="96" t="n">
        <v>0.9942144623719232</v>
      </c>
      <c r="AG147" s="96" t="n"/>
      <c r="AH147" s="96" t="n"/>
      <c r="AI147" s="96" t="n"/>
      <c r="AJ147" s="88" t="n">
        <v>585</v>
      </c>
      <c r="AK147" s="88" t="n">
        <v>376</v>
      </c>
      <c r="AL147" s="88" t="n">
        <v>135</v>
      </c>
      <c r="AM147" s="88" t="n">
        <v>452</v>
      </c>
      <c r="AN147" s="88" t="n">
        <v>253</v>
      </c>
      <c r="AO147" s="88" t="n">
        <v>149</v>
      </c>
      <c r="AP147" s="97" t="n">
        <v>0.7336182336182336</v>
      </c>
      <c r="AQ147" s="92" t="n">
        <v>-0.2877906976744186</v>
      </c>
      <c r="AR147" s="98" t="inlineStr">
        <is>
          <t>N</t>
        </is>
      </c>
      <c r="AS147" s="98" t="inlineStr">
        <is>
          <t>none</t>
        </is>
      </c>
      <c r="AT147" s="104" t="n"/>
      <c r="AU147" s="99" t="n">
        <v>89.98</v>
      </c>
      <c r="AV147" s="98" t="inlineStr">
        <is>
          <t>none</t>
        </is>
      </c>
      <c r="AW147" s="98" t="inlineStr">
        <is>
          <t>Y</t>
        </is>
      </c>
      <c r="AX147" s="98" t="inlineStr">
        <is>
          <t>2026-10-13 12:10:31</t>
        </is>
      </c>
      <c r="AY147" s="100" t="inlineStr">
        <is>
          <t>None</t>
        </is>
      </c>
      <c r="AZ147" s="105" t="n"/>
      <c r="BA147" s="101" t="n">
        <v>64.98999999999999</v>
      </c>
      <c r="BB147" s="101" t="n">
        <v>99.98</v>
      </c>
      <c r="BC147" s="90">
        <f>IF(AND(ISNUMBER(BA147),ISNUMBER(BB147),N(BA147)&gt;0),1-BB147/BA147,"")</f>
        <v/>
      </c>
      <c r="BD147" s="102" t="n">
        <v>136345</v>
      </c>
      <c r="BE147" s="102" t="n">
        <v>252933</v>
      </c>
      <c r="BF147" s="103">
        <f>IF(AND(ISNUMBER(BD147),ISNUMBER(BE147),N(BE147)&gt;0),BD147/BE147,"")</f>
        <v/>
      </c>
      <c r="BG147" s="100" t="inlineStr">
        <is>
          <t>N</t>
        </is>
      </c>
      <c r="BH147" s="100" t="inlineStr">
        <is>
          <t>Buy Box RAISED in BFCM week (median $99.98 vs $64.99 before); List Price $129.98</t>
        </is>
      </c>
    </row>
    <row r="148" ht="62" customHeight="1">
      <c r="A148" s="10">
        <f>_xlfn.IMAGE("https://m.media-amazon.com/images/I/71MnWA4xzHL._AC_SL1500_.jpg")</f>
        <v/>
      </c>
      <c r="B148" s="86" t="inlineStr">
        <is>
          <t>California Design Den</t>
        </is>
      </c>
      <c r="C148" s="32" t="inlineStr">
        <is>
          <t>California Design Den 100% Viscose from Bamboo Sheets Queen, Dark Olive</t>
        </is>
      </c>
      <c r="D148" s="86" t="inlineStr">
        <is>
          <t>Beatable</t>
        </is>
      </c>
      <c r="E148" s="87" t="inlineStr">
        <is>
          <t>B0HFBJPD56</t>
        </is>
      </c>
      <c r="F148" s="87" t="inlineStr">
        <is>
          <t>B0GWHPJ9SD</t>
        </is>
      </c>
      <c r="G148" s="86" t="inlineStr">
        <is>
          <t>Queen</t>
        </is>
      </c>
      <c r="H148" s="86" t="inlineStr">
        <is>
          <t>Bright White</t>
        </is>
      </c>
      <c r="I148" s="88" t="n">
        <v>81</v>
      </c>
      <c r="J148" s="32" t="inlineStr">
        <is>
          <t>B0GWHFGLVL (32%), B0GWHPJ9SD (10%), B0GWHMSZYL (8%), B0GWHGS5BM (5%), B0GWHCHY3Q (5%)</t>
        </is>
      </c>
      <c r="K148" s="89" t="n">
        <v>89.98999999999999</v>
      </c>
      <c r="L148" s="89" t="n"/>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21237</v>
      </c>
      <c r="S148" s="88" t="n">
        <v>18</v>
      </c>
      <c r="T148" s="93">
        <f>IF(AND(ISNUMBER(K148),ISNUMBER(S148)),K148*S148*52/12,"")</f>
        <v/>
      </c>
      <c r="U148" s="94" t="n">
        <v>4.6</v>
      </c>
      <c r="V148" s="88" t="n">
        <v>76</v>
      </c>
      <c r="W148" s="95" t="n">
        <v>46307</v>
      </c>
      <c r="X148" s="95" t="n"/>
      <c r="Y148" s="86" t="n"/>
      <c r="Z148" s="86" t="n"/>
      <c r="AA148" s="88" t="n">
        <v>103642</v>
      </c>
      <c r="AB148" s="88" t="n">
        <v>2019</v>
      </c>
      <c r="AC148" s="96" t="n">
        <v>0.8956907055054905</v>
      </c>
      <c r="AD148" s="96" t="n">
        <v>0.1043093871210513</v>
      </c>
      <c r="AE148" s="32" t="inlineStr">
        <is>
          <t>bamboo sheets</t>
        </is>
      </c>
      <c r="AF148" s="96" t="n">
        <v>0.6944674938731402</v>
      </c>
      <c r="AG148" s="96" t="n"/>
      <c r="AH148" s="96" t="n"/>
      <c r="AI148" s="96" t="n"/>
      <c r="AJ148" s="88" t="n">
        <v>978</v>
      </c>
      <c r="AK148" s="88" t="n">
        <v>433</v>
      </c>
      <c r="AL148" s="88" t="n">
        <v>458</v>
      </c>
      <c r="AM148" s="88" t="n">
        <v>1041</v>
      </c>
      <c r="AN148" s="88" t="n">
        <v>186</v>
      </c>
      <c r="AO148" s="88" t="n">
        <v>36</v>
      </c>
      <c r="AP148" s="97" t="n"/>
      <c r="AQ148" s="92" t="n"/>
      <c r="AR148" s="98" t="inlineStr">
        <is>
          <t>N</t>
        </is>
      </c>
      <c r="AS148" s="98" t="inlineStr">
        <is>
          <t>none</t>
        </is>
      </c>
      <c r="AT148" s="104" t="n"/>
      <c r="AU148" s="99" t="n">
        <v>89.98999999999999</v>
      </c>
      <c r="AV148" s="98" t="inlineStr">
        <is>
          <t>none</t>
        </is>
      </c>
      <c r="AW148" s="98" t="inlineStr">
        <is>
          <t>Y</t>
        </is>
      </c>
      <c r="AX148" s="98" t="inlineStr">
        <is>
          <t>2026-10-13 12:10:41</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_xlfn.IMAGE("https://m.media-amazon.com/images/I/71F9T6wfwRL._AC_SL1500_.jpg")</f>
        <v/>
      </c>
      <c r="B149" s="86" t="inlineStr">
        <is>
          <t>Pillcase</t>
        </is>
      </c>
      <c r="C149" s="32" t="inlineStr">
        <is>
          <t>100% Real Bamboo Viscose &amp; Lyocell Tencel Sheets Set Queen Size | Breathable &amp; C</t>
        </is>
      </c>
      <c r="D149" s="86" t="inlineStr">
        <is>
          <t>Beatable</t>
        </is>
      </c>
      <c r="E149" s="87" t="inlineStr">
        <is>
          <t>B0HK71WHZW</t>
        </is>
      </c>
      <c r="F149" s="87" t="inlineStr">
        <is>
          <t>B0H1BWY4MD</t>
        </is>
      </c>
      <c r="G149" s="86" t="inlineStr">
        <is>
          <t>Queen</t>
        </is>
      </c>
      <c r="H149" s="86" t="inlineStr">
        <is>
          <t>Charcoal</t>
        </is>
      </c>
      <c r="I149" s="88" t="n">
        <v>22</v>
      </c>
      <c r="J149" s="32" t="inlineStr">
        <is>
          <t>B0HBXCGQM1 (57%), B0HF8HHN46 (7%), B0HBXK2Y4B (5%), B0H1BWY4MD (5%), B0H28FT5DH (4%)</t>
        </is>
      </c>
      <c r="K149" s="89" t="n">
        <v>79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(Queen). Ours live: Helium 10 Xray, 2026-10-13; 15 children</t>
        </is>
      </c>
      <c r="R149" s="88" t="n">
        <v>38116</v>
      </c>
      <c r="S149" s="88" t="n">
        <v>18</v>
      </c>
      <c r="T149" s="93">
        <f>IF(AND(ISNUMBER(K149),ISNUMBER(S149)),K149*S149*52/12,"")</f>
        <v/>
      </c>
      <c r="U149" s="94" t="n">
        <v>4.9</v>
      </c>
      <c r="V149" s="88" t="n">
        <v>201</v>
      </c>
      <c r="W149" s="95" t="n">
        <v>46307</v>
      </c>
      <c r="X149" s="95" t="n"/>
      <c r="Y149" s="86" t="n"/>
      <c r="Z149" s="86" t="n"/>
      <c r="AA149" s="88" t="n">
        <v>116001</v>
      </c>
      <c r="AB149" s="88" t="n">
        <v>1002</v>
      </c>
      <c r="AC149" s="96" t="n">
        <v>0.8987684407893036</v>
      </c>
      <c r="AD149" s="96" t="n">
        <v>0.1012329385091508</v>
      </c>
      <c r="AE149" s="32" t="inlineStr">
        <is>
          <t>bamboo sheets</t>
        </is>
      </c>
      <c r="AF149" s="96" t="n">
        <v>0.5789691468176998</v>
      </c>
      <c r="AG149" s="96" t="n"/>
      <c r="AH149" s="96" t="n"/>
      <c r="AI149" s="96" t="n">
        <v>0.01296540547064249</v>
      </c>
      <c r="AJ149" s="88" t="n">
        <v>720</v>
      </c>
      <c r="AK149" s="88" t="n">
        <v>365</v>
      </c>
      <c r="AL149" s="88" t="n">
        <v>310</v>
      </c>
      <c r="AM149" s="88" t="n">
        <v>282</v>
      </c>
      <c r="AN149" s="88" t="n">
        <v>39</v>
      </c>
      <c r="AO149" s="88" t="n">
        <v>16</v>
      </c>
      <c r="AP149" s="97" t="n"/>
      <c r="AQ149" s="92" t="n"/>
      <c r="AR149" s="98" t="inlineStr">
        <is>
          <t>Y</t>
        </is>
      </c>
      <c r="AS149" s="98" t="inlineStr">
        <is>
          <t>List Price</t>
        </is>
      </c>
      <c r="AT149" s="99" t="n">
        <v>99</v>
      </c>
      <c r="AU149" s="99" t="n">
        <v>79</v>
      </c>
      <c r="AV149" s="98" t="inlineStr">
        <is>
          <t>none</t>
        </is>
      </c>
      <c r="AW149" s="98" t="inlineStr">
        <is>
          <t>Y</t>
        </is>
      </c>
      <c r="AX149" s="98" t="inlineStr">
        <is>
          <t>2026-10-13 12:11:10</t>
        </is>
      </c>
      <c r="AY149" s="100" t="inlineStr">
        <is>
          <t>Not live in 2025</t>
        </is>
      </c>
      <c r="AZ149" s="105" t="n"/>
      <c r="BA149" s="104" t="n"/>
      <c r="BB149" s="104" t="n"/>
      <c r="BC149" s="90">
        <f>IF(AND(ISNUMBER(BA149),ISNUMBER(BB149),N(BA149)&gt;0),1-BB149/BA149,"")</f>
        <v/>
      </c>
      <c r="BD149" s="106" t="n"/>
      <c r="BE149" s="106" t="n"/>
      <c r="BF149" s="103">
        <f>IF(AND(ISNUMBER(BD149),ISNUMBER(BE149),N(BE149)&gt;0),BD149/BE149,"")</f>
        <v/>
      </c>
      <c r="BG149" s="105" t="n"/>
      <c r="BH149" s="105" t="n"/>
    </row>
    <row r="150" ht="62" customHeight="1">
      <c r="A150" s="10">
        <f>_xlfn.IMAGE("https://images-na.ssl-images-amazon.com/images/I/71X+0TBtodL.jpg")</f>
        <v/>
      </c>
      <c r="B150" s="86" t="inlineStr">
        <is>
          <t>TWK</t>
        </is>
      </c>
      <c r="C150" s="32" t="inlineStr">
        <is>
          <t>TWK Real 100% Viscose Derived from Bamboo Sheets Set Queen Size, Cooling &amp; Silky</t>
        </is>
      </c>
      <c r="D150" s="86" t="inlineStr">
        <is>
          <t>Beatable</t>
        </is>
      </c>
      <c r="E150" s="87" t="inlineStr">
        <is>
          <t>B0HHQG3RSW</t>
        </is>
      </c>
      <c r="F150" s="87" t="inlineStr">
        <is>
          <t>B0G1N8QS55</t>
        </is>
      </c>
      <c r="G150" s="86" t="inlineStr">
        <is>
          <t>Queen</t>
        </is>
      </c>
      <c r="H150" s="86" t="inlineStr">
        <is>
          <t>Sand</t>
        </is>
      </c>
      <c r="I150" s="88" t="n">
        <v>13</v>
      </c>
      <c r="J150" s="32" t="inlineStr">
        <is>
          <t>B0G1N23HZ1 (41%), B0H35S6VLR (32%), B0G1N8QS55 (18%)</t>
        </is>
      </c>
      <c r="K150" s="89" t="n">
        <v>65</v>
      </c>
      <c r="L150" s="89" t="n">
        <v>79</v>
      </c>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(Queen). Ours live: Helium 10 Xray, 2026-10-13; 15 children</t>
        </is>
      </c>
      <c r="R150" s="88" t="n">
        <v>196488</v>
      </c>
      <c r="S150" s="88" t="n">
        <v>18</v>
      </c>
      <c r="T150" s="93">
        <f>IF(AND(ISNUMBER(K150),ISNUMBER(S150)),K150*S150*52/12,"")</f>
        <v/>
      </c>
      <c r="U150" s="94" t="n">
        <v>4.9</v>
      </c>
      <c r="V150" s="88" t="n">
        <v>121</v>
      </c>
      <c r="W150" s="95" t="n">
        <v>46307</v>
      </c>
      <c r="X150" s="95" t="n"/>
      <c r="Y150" s="86" t="n"/>
      <c r="Z150" s="86" t="n"/>
      <c r="AA150" s="88" t="n">
        <v>82471</v>
      </c>
      <c r="AB150" s="88" t="n">
        <v>905</v>
      </c>
      <c r="AC150" s="96" t="n">
        <v>0.8861114561482216</v>
      </c>
      <c r="AD150" s="96" t="n">
        <v>0.1138885438517783</v>
      </c>
      <c r="AE150" s="32" t="inlineStr">
        <is>
          <t>bamboo sheets</t>
        </is>
      </c>
      <c r="AF150" s="96" t="n">
        <v>0.5572868038462004</v>
      </c>
      <c r="AG150" s="96" t="n"/>
      <c r="AH150" s="96" t="n"/>
      <c r="AI150" s="96" t="n"/>
      <c r="AJ150" s="88" t="n">
        <v>730</v>
      </c>
      <c r="AK150" s="88" t="n">
        <v>388</v>
      </c>
      <c r="AL150" s="88" t="n">
        <v>263</v>
      </c>
      <c r="AM150" s="88" t="n">
        <v>175</v>
      </c>
      <c r="AN150" s="88" t="n">
        <v>27</v>
      </c>
      <c r="AO150" s="88" t="n">
        <v>18</v>
      </c>
      <c r="AP150" s="97" t="n"/>
      <c r="AQ150" s="92" t="n"/>
      <c r="AR150" s="98" t="inlineStr">
        <is>
          <t>Y</t>
        </is>
      </c>
      <c r="AS150" s="98" t="inlineStr">
        <is>
          <t>Typical price</t>
        </is>
      </c>
      <c r="AT150" s="99" t="n">
        <v>79</v>
      </c>
      <c r="AU150" s="99" t="n">
        <v>65</v>
      </c>
      <c r="AV150" s="98" t="inlineStr">
        <is>
          <t>none</t>
        </is>
      </c>
      <c r="AW150" s="98" t="inlineStr">
        <is>
          <t>Y</t>
        </is>
      </c>
      <c r="AX150" s="98" t="inlineStr">
        <is>
          <t>2026-10-13 12:11:35</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_xlfn.IMAGE("https://m.media-amazon.com/images/I/61A6QLdfwQL._AC_SL1500_.jpg")</f>
        <v/>
      </c>
      <c r="B151" s="86" t="inlineStr">
        <is>
          <t>BAMPURE</t>
        </is>
      </c>
      <c r="C151" s="32" t="inlineStr">
        <is>
          <t>Bamboo Sheets</t>
        </is>
      </c>
      <c r="D151" s="86" t="inlineStr">
        <is>
          <t>Beatable</t>
        </is>
      </c>
      <c r="E151" s="87" t="inlineStr">
        <is>
          <t>B07XC2KVM7</t>
        </is>
      </c>
      <c r="F151" s="87" t="inlineStr">
        <is>
          <t>B07XC2KVM7</t>
        </is>
      </c>
      <c r="G151" s="86" t="inlineStr">
        <is>
          <t>Twin - 3 Pieces Set</t>
        </is>
      </c>
      <c r="H151" s="86" t="inlineStr">
        <is>
          <t>White</t>
        </is>
      </c>
      <c r="I151" s="88" t="n"/>
      <c r="J151" s="32" t="inlineStr"/>
      <c r="K151" s="89" t="n">
        <v>37.99</v>
      </c>
      <c r="L151" s="89" t="n"/>
      <c r="M151" s="90">
        <f>IF(AND(ISNUMBER(L151),ISNUMBER(K151),N(K151)&gt;0),L151/K151-1,"")</f>
        <v/>
      </c>
      <c r="N151" s="91">
        <f>IF(M151="","No List Price",IF(M151&lt;=0,"At/below price",IF(M151&lt;=0.12,"&lt;=12% STR zone",IF(M151&lt;=0.25,"12-25%","&gt;25% over"))))</f>
        <v/>
      </c>
      <c r="O151" s="89" t="n">
        <v>89.52942359978253</v>
      </c>
      <c r="P151" s="92">
        <f>IF(AND(ISNUMBER(K151),ISNUMBER(O151),N(O151)&gt;0),K151/O151-1,"")</f>
        <v/>
      </c>
      <c r="Q151" s="32" t="inlineStr">
        <is>
          <t>vs our blended price (Command Center, Mar 2026 - STALE)</t>
        </is>
      </c>
      <c r="R151" s="88" t="n">
        <v>2541068</v>
      </c>
      <c r="S151" s="88" t="n">
        <v>5</v>
      </c>
      <c r="T151" s="93">
        <f>IF(AND(ISNUMBER(K151),ISNUMBER(S151)),K151*S151*52/12,"")</f>
        <v/>
      </c>
      <c r="U151" s="94" t="n">
        <v>4.4</v>
      </c>
      <c r="V151" s="88" t="n">
        <v>30</v>
      </c>
      <c r="W151" s="95" t="n">
        <v>46307</v>
      </c>
      <c r="X151" s="95" t="n"/>
      <c r="Y151" s="86" t="n"/>
      <c r="Z151" s="86" t="n"/>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12:10:15</t>
        </is>
      </c>
      <c r="AY151" s="100" t="inlineStr">
        <is>
          <t>None</t>
        </is>
      </c>
      <c r="AZ151" s="105" t="n"/>
      <c r="BA151" s="101" t="n">
        <v>69.98999999999999</v>
      </c>
      <c r="BB151" s="101" t="n">
        <v>69.98999999999999</v>
      </c>
      <c r="BC151" s="90">
        <f>IF(AND(ISNUMBER(BA151),ISNUMBER(BB151),N(BA151)&gt;0),1-BB151/BA151,"")</f>
        <v/>
      </c>
      <c r="BD151" s="102" t="n">
        <v>31768</v>
      </c>
      <c r="BE151" s="102" t="n">
        <v>27950</v>
      </c>
      <c r="BF151" s="103">
        <f>IF(AND(ISNUMBER(BD151),ISNUMBER(BE151),N(BE151)&gt;0),BD151/BE151,"")</f>
        <v/>
      </c>
      <c r="BG151" s="100" t="inlineStr">
        <is>
          <t>N</t>
        </is>
      </c>
      <c r="BH151" s="100" t="inlineStr">
        <is>
          <t>List Price $69.99</t>
        </is>
      </c>
    </row>
    <row r="152" ht="62" customHeight="1">
      <c r="A152" s="10">
        <f>_xlfn.IMAGE("https://m.media-amazon.com/images/I/81BvQVXWCLL._AC_SL1500_.jpg")</f>
        <v/>
      </c>
      <c r="B152" s="86" t="inlineStr">
        <is>
          <t>BC BELLA COTERIE</t>
        </is>
      </c>
      <c r="C152" s="32" t="inlineStr">
        <is>
          <t>4 Piece Bamboo Sheet Set</t>
        </is>
      </c>
      <c r="D152" s="86" t="inlineStr">
        <is>
          <t>Beatable</t>
        </is>
      </c>
      <c r="E152" s="87" t="inlineStr">
        <is>
          <t>B0H29V113N</t>
        </is>
      </c>
      <c r="F152" s="87" t="inlineStr">
        <is>
          <t>B0G674ZDTV</t>
        </is>
      </c>
      <c r="G152" s="86" t="inlineStr">
        <is>
          <t>Queen - 2 Pillowcases</t>
        </is>
      </c>
      <c r="H152" s="86" t="inlineStr">
        <is>
          <t>22 - Striped Dune</t>
        </is>
      </c>
      <c r="I152" s="88" t="n"/>
      <c r="J152" s="32" t="inlineStr"/>
      <c r="K152" s="89" t="n">
        <v>159.99</v>
      </c>
      <c r="L152" s="89" t="n"/>
      <c r="M152" s="90">
        <f>IF(AND(ISNUMBER(L152),ISNUMBER(K152),N(K152)&gt;0),L152/K152-1,"")</f>
        <v/>
      </c>
      <c r="N152" s="91">
        <f>IF(M152="","No List Price",IF(M152&lt;=0,"At/below price",IF(M152&lt;=0.12,"&lt;=12% STR zone",IF(M152&lt;=0.25,"12-25%","&gt;25% over"))))</f>
        <v/>
      </c>
      <c r="O152" s="89" t="n">
        <v>89.52942359978253</v>
      </c>
      <c r="P152" s="92">
        <f>IF(AND(ISNUMBER(K152),ISNUMBER(O152),N(O152)&gt;0),K152/O152-1,"")</f>
        <v/>
      </c>
      <c r="Q152" s="32" t="inlineStr">
        <is>
          <t>vs our blended price (Command Center, Mar 2026 - STALE)</t>
        </is>
      </c>
      <c r="R152" s="88" t="n">
        <v>1577</v>
      </c>
      <c r="S152" s="88" t="n">
        <v>5</v>
      </c>
      <c r="T152" s="93">
        <f>IF(AND(ISNUMBER(K152),ISNUMBER(S152)),K152*S152*52/12,"")</f>
        <v/>
      </c>
      <c r="U152" s="94" t="n">
        <v>4.4</v>
      </c>
      <c r="V152" s="88" t="n">
        <v>5652</v>
      </c>
      <c r="W152" s="95" t="n">
        <v>46223</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99" t="n">
        <v>159.99</v>
      </c>
      <c r="AV152" s="98" t="inlineStr">
        <is>
          <t>none</t>
        </is>
      </c>
      <c r="AW152" s="98" t="inlineStr">
        <is>
          <t>Y</t>
        </is>
      </c>
      <c r="AX152" s="98" t="inlineStr">
        <is>
          <t>2026-10-13 12:10:21</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_xlfn.IMAGE("https://m.media-amazon.com/images/I/71-mwiI1N+L._AC_SL1500_.jpg")</f>
        <v/>
      </c>
      <c r="B153" s="86" t="inlineStr">
        <is>
          <t>Tafts</t>
        </is>
      </c>
      <c r="C153" s="32" t="inlineStr">
        <is>
          <t>Bamboo Sheets Queen Size, 100% Pure Viscose derived from Bamboo Bed Sheet Set, L</t>
        </is>
      </c>
      <c r="D153" s="86" t="inlineStr">
        <is>
          <t>Beatable</t>
        </is>
      </c>
      <c r="E153" s="87" t="inlineStr">
        <is>
          <t>B0D34K3FB9</t>
        </is>
      </c>
      <c r="F153" s="87" t="inlineStr">
        <is>
          <t>B07YSVNCVT</t>
        </is>
      </c>
      <c r="G153" s="86" t="inlineStr">
        <is>
          <t>Queen</t>
        </is>
      </c>
      <c r="H153" s="86" t="inlineStr">
        <is>
          <t>Nude Beige</t>
        </is>
      </c>
      <c r="I153" s="88" t="n">
        <v>23</v>
      </c>
      <c r="J153" s="32" t="inlineStr">
        <is>
          <t>B07YSW4HCT (83%)</t>
        </is>
      </c>
      <c r="K153" s="89" t="n">
        <v>104.99</v>
      </c>
      <c r="L153" s="89" t="n"/>
      <c r="M153" s="90">
        <f>IF(AND(ISNUMBER(L153),ISNUMBER(K153),N(K153)&gt;0),L153/K153-1,"")</f>
        <v/>
      </c>
      <c r="N153" s="91">
        <f>IF(M153="","No List Price",IF(M153&lt;=0,"At/below price",IF(M153&lt;=0.12,"&lt;=12% STR zone",IF(M153&lt;=0.25,"12-25%","&gt;25% over"))))</f>
        <v/>
      </c>
      <c r="O153" s="89" t="n">
        <v>94.98999999999999</v>
      </c>
      <c r="P153" s="92">
        <f>IF(AND(ISNUMBER(K153),ISNUMBER(O153),N(O153)&gt;0),K153/O153-1,"")</f>
        <v/>
      </c>
      <c r="Q153" s="32" t="inlineStr">
        <is>
          <t>Same size (Queen). Ours live: Helium 10 Xray, 2026-10-13; 15 children</t>
        </is>
      </c>
      <c r="R153" s="88" t="n">
        <v>184749</v>
      </c>
      <c r="S153" s="88" t="n">
        <v>5</v>
      </c>
      <c r="T153" s="93">
        <f>IF(AND(ISNUMBER(K153),ISNUMBER(S153)),K153*S153*52/12,"")</f>
        <v/>
      </c>
      <c r="U153" s="94" t="n">
        <v>4.5</v>
      </c>
      <c r="V153" s="88" t="n">
        <v>3184</v>
      </c>
      <c r="W153" s="95" t="n">
        <v>46307</v>
      </c>
      <c r="X153" s="95" t="n"/>
      <c r="Y153" s="86" t="n"/>
      <c r="Z153" s="86" t="n"/>
      <c r="AA153" s="88" t="n">
        <v>11787</v>
      </c>
      <c r="AB153" s="88" t="n">
        <v>302</v>
      </c>
      <c r="AC153" s="96" t="n">
        <v>0.9613189955035204</v>
      </c>
      <c r="AD153" s="96" t="n">
        <v>0.03868100449647917</v>
      </c>
      <c r="AE153" s="32" t="inlineStr">
        <is>
          <t>bamboo sheets</t>
        </is>
      </c>
      <c r="AF153" s="96" t="n">
        <v>0.8949690336811742</v>
      </c>
      <c r="AG153" s="96" t="n"/>
      <c r="AH153" s="96" t="n"/>
      <c r="AI153" s="96" t="n"/>
      <c r="AJ153" s="88" t="n">
        <v>228</v>
      </c>
      <c r="AK153" s="88" t="n">
        <v>180</v>
      </c>
      <c r="AL153" s="88" t="n">
        <v>26</v>
      </c>
      <c r="AM153" s="88" t="n">
        <v>74</v>
      </c>
      <c r="AN153" s="88" t="n">
        <v>13</v>
      </c>
      <c r="AO153" s="88" t="n">
        <v>14</v>
      </c>
      <c r="AP153" s="97" t="n"/>
      <c r="AQ153" s="92" t="n"/>
      <c r="AR153" s="98" t="inlineStr">
        <is>
          <t>N</t>
        </is>
      </c>
      <c r="AS153" s="98" t="inlineStr">
        <is>
          <t>none</t>
        </is>
      </c>
      <c r="AT153" s="104" t="n"/>
      <c r="AU153" s="99" t="n">
        <v>104.99</v>
      </c>
      <c r="AV153" s="98" t="inlineStr">
        <is>
          <t>none</t>
        </is>
      </c>
      <c r="AW153" s="98" t="inlineStr">
        <is>
          <t>Y</t>
        </is>
      </c>
      <c r="AX153" s="98" t="inlineStr">
        <is>
          <t>2026-10-13 12:14:21</t>
        </is>
      </c>
      <c r="AY153" s="100" t="inlineStr">
        <is>
          <t>Coupon only</t>
        </is>
      </c>
      <c r="AZ153" s="100" t="inlineStr">
        <is>
          <t>11-06 to 11-20</t>
        </is>
      </c>
      <c r="BA153" s="101" t="n">
        <v>99.98999999999999</v>
      </c>
      <c r="BB153" s="101" t="n">
        <v>80.73999999999999</v>
      </c>
      <c r="BC153" s="90">
        <f>IF(AND(ISNUMBER(BA153),ISNUMBER(BB153),N(BA153)&gt;0),1-BB153/BA153,"")</f>
        <v/>
      </c>
      <c r="BD153" s="102" t="n">
        <v>127180</v>
      </c>
      <c r="BE153" s="102" t="n">
        <v>98722</v>
      </c>
      <c r="BF153" s="103">
        <f>IF(AND(ISNUMBER(BD153),ISNUMBER(BE153),N(BE153)&gt;0),BD153/BE153,"")</f>
        <v/>
      </c>
      <c r="BG153" s="100" t="inlineStr">
        <is>
          <t>Y</t>
        </is>
      </c>
      <c r="BH153" s="100" t="inlineStr">
        <is>
          <t>Coupon 20%; List Price $119.99</t>
        </is>
      </c>
    </row>
    <row r="154" ht="62" customHeight="1">
      <c r="A154" s="10">
        <f>_xlfn.IMAGE("https://m.media-amazon.com/images/I/71QUqgRttAL._AC_SL1500_.jpg")</f>
        <v/>
      </c>
      <c r="B154" s="86" t="inlineStr">
        <is>
          <t>TWK</t>
        </is>
      </c>
      <c r="C154" s="32" t="inlineStr">
        <is>
          <t>TWK Real 100% Viscose Derived from Bamboo Sheets Set Queen Size, Cooling &amp; Silky</t>
        </is>
      </c>
      <c r="D154" s="86" t="inlineStr">
        <is>
          <t>Beatable</t>
        </is>
      </c>
      <c r="E154" s="87" t="inlineStr">
        <is>
          <t>B0HHQG3RSW</t>
        </is>
      </c>
      <c r="F154" s="87" t="inlineStr">
        <is>
          <t>B0HHRR4XGX</t>
        </is>
      </c>
      <c r="G154" s="86" t="inlineStr">
        <is>
          <t>Queen</t>
        </is>
      </c>
      <c r="H154" s="86" t="inlineStr">
        <is>
          <t>White</t>
        </is>
      </c>
      <c r="I154" s="88" t="n">
        <v>1</v>
      </c>
      <c r="J154" s="32" t="inlineStr">
        <is>
          <t>B0HHRR4XGX (100%)</t>
        </is>
      </c>
      <c r="K154" s="89" t="n">
        <v>105</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(Queen). Ours live: Helium 10 Xray, 2026-10-13; 15 children</t>
        </is>
      </c>
      <c r="R154" s="88" t="n"/>
      <c r="S154" s="88" t="n">
        <v>5</v>
      </c>
      <c r="T154" s="93">
        <f>IF(AND(ISNUMBER(K154),ISNUMBER(S154)),K154*S154*52/12,"")</f>
        <v/>
      </c>
      <c r="U154" s="94" t="n">
        <v>4.5</v>
      </c>
      <c r="V154" s="88" t="n"/>
      <c r="W154" s="95" t="n">
        <v>46307</v>
      </c>
      <c r="X154" s="95" t="n"/>
      <c r="Y154" s="86" t="n"/>
      <c r="Z154" s="86" t="n"/>
      <c r="AA154" s="88" t="n">
        <v>30066</v>
      </c>
      <c r="AB154" s="88" t="n">
        <v>74</v>
      </c>
      <c r="AC154" s="96" t="n">
        <v>1</v>
      </c>
      <c r="AD154" s="96" t="n">
        <v>0</v>
      </c>
      <c r="AE154" s="32" t="inlineStr">
        <is>
          <t>queen sheet set</t>
        </is>
      </c>
      <c r="AF154" s="96" t="n"/>
      <c r="AG154" s="96" t="n"/>
      <c r="AH154" s="96" t="n"/>
      <c r="AI154" s="96" t="n"/>
      <c r="AJ154" s="88" t="n">
        <v>73</v>
      </c>
      <c r="AK154" s="88" t="n">
        <v>64</v>
      </c>
      <c r="AL154" s="88" t="n">
        <v>8</v>
      </c>
      <c r="AM154" s="88" t="n">
        <v>1</v>
      </c>
      <c r="AN154" s="88" t="n">
        <v>0</v>
      </c>
      <c r="AO154" s="88" t="n">
        <v>0</v>
      </c>
      <c r="AP154" s="97" t="n"/>
      <c r="AQ154" s="92" t="n"/>
      <c r="AR154" s="98" t="inlineStr">
        <is>
          <t>N</t>
        </is>
      </c>
      <c r="AS154" s="98" t="inlineStr">
        <is>
          <t>none</t>
        </is>
      </c>
      <c r="AT154" s="104" t="n"/>
      <c r="AU154" s="99" t="n">
        <v>105</v>
      </c>
      <c r="AV154" s="98" t="inlineStr">
        <is>
          <t>none</t>
        </is>
      </c>
      <c r="AW154" s="98" t="inlineStr">
        <is>
          <t>Y</t>
        </is>
      </c>
      <c r="AX154" s="98" t="inlineStr">
        <is>
          <t>2026-10-13 12:11:39</t>
        </is>
      </c>
      <c r="AY154" s="100" t="inlineStr">
        <is>
          <t>Not live in 2025</t>
        </is>
      </c>
      <c r="AZ154" s="105" t="n"/>
      <c r="BA154" s="104" t="n"/>
      <c r="BB154" s="104" t="n"/>
      <c r="BC154" s="90">
        <f>IF(AND(ISNUMBER(BA154),ISNUMBER(BB154),N(BA154)&gt;0),1-BB154/BA154,"")</f>
        <v/>
      </c>
      <c r="BD154" s="106" t="n"/>
      <c r="BE154" s="106" t="n"/>
      <c r="BF154" s="103">
        <f>IF(AND(ISNUMBER(BD154),ISNUMBER(BE154),N(BE154)&gt;0),BD154/BE154,"")</f>
        <v/>
      </c>
      <c r="BG154" s="105" t="n"/>
      <c r="BH154" s="105" t="n"/>
    </row>
    <row r="155" ht="62" customHeight="1">
      <c r="A155" s="10">
        <f>_xlfn.IMAGE("https://m.media-amazon.com/images/I/61mi8zwd8GL._AC_SL1500_.jpg")</f>
        <v/>
      </c>
      <c r="B155" s="86" t="inlineStr">
        <is>
          <t>Pillcase</t>
        </is>
      </c>
      <c r="C155" s="32" t="inlineStr">
        <is>
          <t>Cooling Hotel Bedding Sheet Set - 4pcs Bamboo Viscose &amp; Tencel Blend, Moisture-W</t>
        </is>
      </c>
      <c r="D155" s="86" t="inlineStr">
        <is>
          <t>Beatable</t>
        </is>
      </c>
      <c r="E155" s="87" t="inlineStr">
        <is>
          <t>B0HJYG8V9Q</t>
        </is>
      </c>
      <c r="F155" s="87" t="inlineStr">
        <is>
          <t>B0HJYG8V9Q</t>
        </is>
      </c>
      <c r="G155" s="86" t="inlineStr">
        <is>
          <t>King</t>
        </is>
      </c>
      <c r="H155" s="86" t="inlineStr">
        <is>
          <t>Pearl White</t>
        </is>
      </c>
      <c r="I155" s="88" t="n"/>
      <c r="J155" s="32" t="inlineStr"/>
      <c r="K155" s="89" t="n">
        <v>79.98999999999999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15 children</t>
        </is>
      </c>
      <c r="R155" s="88" t="n">
        <v>762451</v>
      </c>
      <c r="S155" s="88" t="n">
        <v>5</v>
      </c>
      <c r="T155" s="93">
        <f>IF(AND(ISNUMBER(K155),ISNUMBER(S155)),K155*S155*52/12,"")</f>
        <v/>
      </c>
      <c r="U155" s="94" t="n">
        <v>4</v>
      </c>
      <c r="V155" s="88" t="n"/>
      <c r="W155" s="95" t="n">
        <v>46307</v>
      </c>
      <c r="X155" s="95" t="n"/>
      <c r="Y155" s="86" t="n"/>
      <c r="Z155" s="86" t="n"/>
      <c r="AA155" s="88" t="n">
        <v>57075</v>
      </c>
      <c r="AB155" s="88" t="n">
        <v>90</v>
      </c>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104" t="n"/>
      <c r="AV155" s="98" t="inlineStr">
        <is>
          <t>none</t>
        </is>
      </c>
      <c r="AW155" s="98" t="inlineStr">
        <is>
          <t>N</t>
        </is>
      </c>
      <c r="AX155" s="98" t="inlineStr">
        <is>
          <t>2026-10-13 12:11:13</t>
        </is>
      </c>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38" t="inlineStr">
        <is>
          <t>COMING SOON</t>
        </is>
      </c>
      <c r="B156" s="86" t="inlineStr">
        <is>
          <t>TOSMO</t>
        </is>
      </c>
      <c r="C156" s="32" t="inlineStr">
        <is>
          <t>TOSMO Luxury Cooling Sheet Set - 100% Viscose from Bamboo, 4-Piece Bedding Set (King Size) - 18” Extra Deep Pockets, Oeko-Tex Certified, Silky Soft and Breathable, Classic White</t>
        </is>
      </c>
      <c r="D156" s="86" t="inlineStr">
        <is>
          <t>Beatable</t>
        </is>
      </c>
      <c r="E156" s="86" t="n"/>
      <c r="F156" s="87" t="inlineStr">
        <is>
          <t>B0DWXNH24Z</t>
        </is>
      </c>
      <c r="G156" s="86" t="inlineStr">
        <is>
          <t>King</t>
        </is>
      </c>
      <c r="H156" s="86" t="inlineStr">
        <is>
          <t>White</t>
        </is>
      </c>
      <c r="I156" s="88" t="n"/>
      <c r="J156" s="32" t="inlineStr"/>
      <c r="K156" s="89" t="n">
        <v>129</v>
      </c>
      <c r="L156" s="89" t="n"/>
      <c r="M156" s="90">
        <f>IF(AND(ISNUMBER(L156),ISNUMBER(K156),N(K156)&gt;0),L156/K156-1,"")</f>
        <v/>
      </c>
      <c r="N156" s="91">
        <f>IF(M156="","No List Price",IF(M156&lt;=0,"At/below price",IF(M156&lt;=0.12,"&lt;=12% STR zone",IF(M156&lt;=0.25,"12-25%","&gt;25% over"))))</f>
        <v/>
      </c>
      <c r="O156" s="89" t="n">
        <v>99.98999999999999</v>
      </c>
      <c r="P156" s="92">
        <f>IF(AND(ISNUMBER(K156),ISNUMBER(O156),N(O156)&gt;0),K156/O156-1,"")</f>
        <v/>
      </c>
      <c r="Q156" s="32" t="inlineStr">
        <is>
          <t>Same size (King). Ours live: Helium 10 Xray, 2026-10-13; 15 children</t>
        </is>
      </c>
      <c r="R156" s="88" t="n">
        <v>543947</v>
      </c>
      <c r="S156" s="88" t="n"/>
      <c r="T156" s="93">
        <f>IF(AND(ISNUMBER(K156),ISNUMBER(S156)),K156*S156*52/12,"")</f>
        <v/>
      </c>
      <c r="U156" s="94" t="n">
        <v>4.4</v>
      </c>
      <c r="V156" s="88" t="n">
        <v>53</v>
      </c>
      <c r="W156" s="95" t="n">
        <v>46306</v>
      </c>
      <c r="X156" s="95" t="n"/>
      <c r="Y156" s="86" t="n"/>
      <c r="Z156" s="86" t="n"/>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11-20 to 12-01</t>
        </is>
      </c>
      <c r="BA156" s="101" t="n">
        <v>134</v>
      </c>
      <c r="BB156" s="101" t="n">
        <v>105.39</v>
      </c>
      <c r="BC156" s="90">
        <f>IF(AND(ISNUMBER(BA156),ISNUMBER(BB156),N(BA156)&gt;0),1-BB156/BA156,"")</f>
        <v/>
      </c>
      <c r="BD156" s="102" t="n">
        <v>166573</v>
      </c>
      <c r="BE156" s="102" t="n">
        <v>90856</v>
      </c>
      <c r="BF156" s="103">
        <f>IF(AND(ISNUMBER(BD156),ISNUMBER(BE156),N(BE156)&gt;0),BD156/BE156,"")</f>
        <v/>
      </c>
      <c r="BG156" s="105" t="n"/>
      <c r="BH156" s="100" t="inlineStr">
        <is>
          <t>List Price $169.99</t>
        </is>
      </c>
    </row>
    <row r="157" ht="62" customHeight="1">
      <c r="A157" s="10">
        <f>_xlfn.IMAGE("https://images-na.ssl-images-amazon.com/images/I/619BLF7gvdL.jpg")</f>
        <v/>
      </c>
      <c r="B157" s="86" t="inlineStr">
        <is>
          <t>Pillcase</t>
        </is>
      </c>
      <c r="C157" s="32" t="inlineStr">
        <is>
          <t>Pillcase Luxury Organic Tencel &amp; Viscose from Bamboo Cooling Sheet Set,Silky Soft Lyocell Sheets with Deep Pocket, Hypoallergenic &amp; Breathable Bedding with Pillowcases (White, King)</t>
        </is>
      </c>
      <c r="D157" s="86" t="inlineStr">
        <is>
          <t>Beatable</t>
        </is>
      </c>
      <c r="E157" s="86" t="n"/>
      <c r="F157" s="87" t="inlineStr">
        <is>
          <t>B0GZ243WW5</t>
        </is>
      </c>
      <c r="G157" s="86" t="inlineStr">
        <is>
          <t>King</t>
        </is>
      </c>
      <c r="H157" s="86" t="inlineStr">
        <is>
          <t>White</t>
        </is>
      </c>
      <c r="I157" s="88" t="n">
        <v>1</v>
      </c>
      <c r="J157" s="32" t="inlineStr"/>
      <c r="K157" s="89" t="n">
        <v>99</v>
      </c>
      <c r="L157" s="89" t="n"/>
      <c r="M157" s="90">
        <f>IF(AND(ISNUMBER(L157),ISNUMBER(K157),N(K157)&gt;0),L157/K157-1,"")</f>
        <v/>
      </c>
      <c r="N157" s="91">
        <f>IF(M157="","No List Price",IF(M157&lt;=0,"At/below price",IF(M157&lt;=0.12,"&lt;=12% STR zone",IF(M157&lt;=0.25,"12-25%","&gt;25% over"))))</f>
        <v/>
      </c>
      <c r="O157" s="89" t="n">
        <v>99.98999999999999</v>
      </c>
      <c r="P157" s="92">
        <f>IF(AND(ISNUMBER(K157),ISNUMBER(O157),N(O157)&gt;0),K157/O157-1,"")</f>
        <v/>
      </c>
      <c r="Q157" s="32" t="inlineStr">
        <is>
          <t>Same size (King). Ours live: Helium 10 Xray, 2026-10-13; 15 children</t>
        </is>
      </c>
      <c r="R157" s="88" t="n">
        <v>3440303</v>
      </c>
      <c r="S157" s="88" t="n"/>
      <c r="T157" s="93">
        <f>IF(AND(ISNUMBER(K157),ISNUMBER(S157)),K157*S157*52/12,"")</f>
        <v/>
      </c>
      <c r="U157" s="94" t="n">
        <v>4.9</v>
      </c>
      <c r="V157" s="88" t="n">
        <v>201</v>
      </c>
      <c r="W157" s="95" t="n">
        <v>46306</v>
      </c>
      <c r="X157" s="95" t="n">
        <v>46143</v>
      </c>
      <c r="Y157" s="86" t="inlineStr">
        <is>
          <t>FBM</t>
        </is>
      </c>
      <c r="Z157" s="86" t="inlineStr">
        <is>
          <t>N/A</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105" t="n"/>
      <c r="AS157" s="105" t="n"/>
      <c r="AT157" s="104" t="n"/>
      <c r="AU157" s="104" t="n"/>
      <c r="AV157" s="105" t="n"/>
      <c r="AW157" s="105" t="n"/>
      <c r="AX157" s="105" t="n"/>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_xlfn.IMAGE("https://images-na.ssl-images-amazon.com/images/I/61fbapIObwL.jpg")</f>
        <v/>
      </c>
      <c r="B158" s="86" t="inlineStr">
        <is>
          <t>BAMPURE</t>
        </is>
      </c>
      <c r="C158" s="32" t="inlineStr">
        <is>
          <t>BAMPURE 100% Rayon from Bamboo Sheets Queen Size - 4pc Cooling Sheets Queen</t>
        </is>
      </c>
      <c r="D158" s="86" t="inlineStr">
        <is>
          <t>Beatable</t>
        </is>
      </c>
      <c r="E158" s="86" t="n"/>
      <c r="F158" s="87" t="inlineStr">
        <is>
          <t>B07XBJY2JR</t>
        </is>
      </c>
      <c r="G158" s="86" t="inlineStr">
        <is>
          <t>Queen</t>
        </is>
      </c>
      <c r="H158" s="86" t="n"/>
      <c r="I158" s="88" t="n">
        <v>40</v>
      </c>
      <c r="J158" s="32" t="inlineStr"/>
      <c r="K158" s="89" t="n">
        <v>72.23</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14474</v>
      </c>
      <c r="S158" s="88" t="n"/>
      <c r="T158" s="93">
        <f>IF(AND(ISNUMBER(K158),ISNUMBER(S158)),K158*S158*52/12,"")</f>
        <v/>
      </c>
      <c r="U158" s="94" t="n">
        <v>4.4</v>
      </c>
      <c r="V158" s="88" t="n">
        <v>4320</v>
      </c>
      <c r="W158" s="95" t="n">
        <v>46306</v>
      </c>
      <c r="X158" s="95" t="n">
        <v>43784</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105" t="n"/>
      <c r="AS158" s="105" t="n"/>
      <c r="AT158" s="104" t="n"/>
      <c r="AU158" s="104" t="n"/>
      <c r="AV158" s="105" t="n"/>
      <c r="AW158" s="105" t="n"/>
      <c r="AX158" s="105" t="n"/>
      <c r="AY158" s="100" t="inlineStr">
        <is>
          <t>Prime Exclusive Discount</t>
        </is>
      </c>
      <c r="AZ158" s="100" t="inlineStr">
        <is>
          <t>11-21 to 11-30</t>
        </is>
      </c>
      <c r="BA158" s="101" t="n">
        <v>84.98999999999999</v>
      </c>
      <c r="BB158" s="101" t="n">
        <v>79.98999999999999</v>
      </c>
      <c r="BC158" s="90">
        <f>IF(AND(ISNUMBER(BA158),ISNUMBER(BB158),N(BA158)&gt;0),1-BB158/BA158,"")</f>
        <v/>
      </c>
      <c r="BD158" s="102" t="n">
        <v>33490</v>
      </c>
      <c r="BE158" s="102" t="n">
        <v>28222</v>
      </c>
      <c r="BF158" s="103">
        <f>IF(AND(ISNUMBER(BD158),ISNUMBER(BE158),N(BE158)&gt;0),BD158/BE158,"")</f>
        <v/>
      </c>
      <c r="BG158" s="105" t="n"/>
      <c r="BH158" s="100" t="inlineStr">
        <is>
          <t>Buy Box RAISED in BFCM week (median $99.99 vs $84.99 before); List Price $99.99</t>
        </is>
      </c>
    </row>
    <row r="159" ht="62" customHeight="1">
      <c r="A159" s="10">
        <f>_xlfn.IMAGE("https://m.media-amazon.com/images/I/71m+WEzQwhL._AC_SL1500_.jpg")</f>
        <v/>
      </c>
      <c r="B159" s="86" t="inlineStr">
        <is>
          <t>AiAngu</t>
        </is>
      </c>
      <c r="C159" s="32" t="inlineStr">
        <is>
          <t>Bamboo Sheets</t>
        </is>
      </c>
      <c r="D159" s="86" t="inlineStr">
        <is>
          <t>Poor</t>
        </is>
      </c>
      <c r="E159" s="87" t="inlineStr">
        <is>
          <t>B0GX135KCN</t>
        </is>
      </c>
      <c r="F159" s="87" t="inlineStr">
        <is>
          <t>B0GX15Y7TT</t>
        </is>
      </c>
      <c r="G159" s="86" t="inlineStr">
        <is>
          <t>Queen</t>
        </is>
      </c>
      <c r="H159" s="86" t="inlineStr">
        <is>
          <t>Dark Grey</t>
        </is>
      </c>
      <c r="I159" s="88" t="n"/>
      <c r="J159" s="32" t="inlineStr"/>
      <c r="K159" s="89" t="n">
        <v>74.98999999999999</v>
      </c>
      <c r="L159" s="89" t="n">
        <v>79.98999999999999</v>
      </c>
      <c r="M159" s="90">
        <f>IF(AND(ISNUMBER(L159),ISNUMBER(K159),N(K159)&gt;0),L159/K159-1,"")</f>
        <v/>
      </c>
      <c r="N159" s="91">
        <f>IF(M159="","No List Price",IF(M159&lt;=0,"At/below price",IF(M159&lt;=0.12,"&lt;=12% STR zone",IF(M159&lt;=0.25,"12-25%","&gt;25% over"))))</f>
        <v/>
      </c>
      <c r="O159" s="89" t="n">
        <v>94.98999999999999</v>
      </c>
      <c r="P159" s="92">
        <f>IF(AND(ISNUMBER(K159),ISNUMBER(O159),N(O159)&gt;0),K159/O159-1,"")</f>
        <v/>
      </c>
      <c r="Q159" s="32" t="inlineStr">
        <is>
          <t>Same size (Queen). Ours live: Helium 10 Xray, 2026-10-13; 15 children</t>
        </is>
      </c>
      <c r="R159" s="88" t="n">
        <v>39296</v>
      </c>
      <c r="S159" s="88" t="n">
        <v>81</v>
      </c>
      <c r="T159" s="93">
        <f>IF(AND(ISNUMBER(K159),ISNUMBER(S159)),K159*S159*52/12,"")</f>
        <v/>
      </c>
      <c r="U159" s="94" t="n">
        <v>4.6</v>
      </c>
      <c r="V159" s="88" t="n">
        <v>121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List Price</t>
        </is>
      </c>
      <c r="AT159" s="99" t="n">
        <v>79.98999999999999</v>
      </c>
      <c r="AU159" s="99" t="n">
        <v>74.98999999999999</v>
      </c>
      <c r="AV159" s="98" t="inlineStr">
        <is>
          <t>coupon 25%</t>
        </is>
      </c>
      <c r="AW159" s="98" t="inlineStr">
        <is>
          <t>Y</t>
        </is>
      </c>
      <c r="AX159" s="98" t="inlineStr">
        <is>
          <t>2026-10-13 23:35:32</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5" t="n"/>
    </row>
    <row r="160" ht="62" customHeight="1">
      <c r="A160" s="10">
        <f>_xlfn.IMAGE("https://images-na.ssl-images-amazon.com/images/I/71Kvq1YdGJL.jpg")</f>
        <v/>
      </c>
      <c r="B160" s="86" t="inlineStr">
        <is>
          <t>Cariloha</t>
        </is>
      </c>
      <c r="C160" s="32" t="inlineStr">
        <is>
          <t>Cariloha Aloha Soft Bamboo Viscose Sheet Set - Natural - Queen</t>
        </is>
      </c>
      <c r="D160" s="86" t="inlineStr">
        <is>
          <t>Poor</t>
        </is>
      </c>
      <c r="E160" s="87" t="inlineStr">
        <is>
          <t>B0F89K7BXJ</t>
        </is>
      </c>
      <c r="F160" s="87" t="inlineStr">
        <is>
          <t>B0DJV1K332</t>
        </is>
      </c>
      <c r="G160" s="86" t="inlineStr">
        <is>
          <t>Queen</t>
        </is>
      </c>
      <c r="H160" s="86" t="inlineStr">
        <is>
          <t>Natural</t>
        </is>
      </c>
      <c r="I160" s="88" t="n">
        <v>35</v>
      </c>
      <c r="J160" s="32" t="inlineStr"/>
      <c r="K160" s="89" t="n">
        <v>107.1</v>
      </c>
      <c r="L160" s="89" t="n"/>
      <c r="M160" s="90">
        <f>IF(AND(ISNUMBER(L160),ISNUMBER(K160),N(K160)&gt;0),L160/K160-1,"")</f>
        <v/>
      </c>
      <c r="N160" s="91">
        <f>IF(M160="","No List Price",IF(M160&lt;=0,"At/below price",IF(M160&lt;=0.12,"&lt;=12% STR zone",IF(M160&lt;=0.25,"12-25%","&gt;25% over"))))</f>
        <v/>
      </c>
      <c r="O160" s="89" t="n">
        <v>94.98999999999999</v>
      </c>
      <c r="P160" s="92">
        <f>IF(AND(ISNUMBER(K160),ISNUMBER(O160),N(O160)&gt;0),K160/O160-1,"")</f>
        <v/>
      </c>
      <c r="Q160" s="32" t="inlineStr">
        <is>
          <t>Same size (Queen). Ours live: Helium 10 Xray, 2026-10-13; 15 children</t>
        </is>
      </c>
      <c r="R160" s="88" t="n">
        <v>15882</v>
      </c>
      <c r="S160" s="88" t="n">
        <v>81</v>
      </c>
      <c r="T160" s="93">
        <f>IF(AND(ISNUMBER(K160),ISNUMBER(S160)),K160*S160*52/12,"")</f>
        <v/>
      </c>
      <c r="U160" s="94" t="n">
        <v>4.4</v>
      </c>
      <c r="V160" s="88" t="n">
        <v>426</v>
      </c>
      <c r="W160" s="95" t="n">
        <v>46307</v>
      </c>
      <c r="X160" s="95" t="n">
        <v>45575</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Y</t>
        </is>
      </c>
      <c r="AS160" s="98" t="inlineStr">
        <is>
          <t>List Price</t>
        </is>
      </c>
      <c r="AT160" s="99" t="n">
        <v>119</v>
      </c>
      <c r="AU160" s="99" t="n">
        <v>107.1</v>
      </c>
      <c r="AV160" s="98" t="inlineStr">
        <is>
          <t>none</t>
        </is>
      </c>
      <c r="AW160" s="98" t="inlineStr">
        <is>
          <t>Y</t>
        </is>
      </c>
      <c r="AX160" s="98" t="inlineStr">
        <is>
          <t>2026-10-13 23:35:56</t>
        </is>
      </c>
      <c r="AY160" s="100" t="inlineStr">
        <is>
          <t>Prime Exclusive Discount</t>
        </is>
      </c>
      <c r="AZ160" s="100" t="inlineStr">
        <is>
          <t>11-23 to 11-30</t>
        </is>
      </c>
      <c r="BA160" s="101" t="n">
        <v>119</v>
      </c>
      <c r="BB160" s="101" t="n">
        <v>71.40000000000001</v>
      </c>
      <c r="BC160" s="90">
        <f>IF(AND(ISNUMBER(BA160),ISNUMBER(BB160),N(BA160)&gt;0),1-BB160/BA160,"")</f>
        <v/>
      </c>
      <c r="BD160" s="102" t="n">
        <v>52063</v>
      </c>
      <c r="BE160" s="102" t="n">
        <v>37342</v>
      </c>
      <c r="BF160" s="103">
        <f>IF(AND(ISNUMBER(BD160),ISNUMBER(BE160),N(BE160)&gt;0),BD160/BE160,"")</f>
        <v/>
      </c>
      <c r="BG160" s="100" t="inlineStr">
        <is>
          <t>N</t>
        </is>
      </c>
      <c r="BH160" s="100" t="inlineStr">
        <is>
          <t>Coupon 20%, 30% (11-01 to 12-05); List Price $119.00</t>
        </is>
      </c>
    </row>
    <row r="161" ht="62" customHeight="1">
      <c r="A161" s="10">
        <f>_xlfn.IMAGE("https://images-na.ssl-images-amazon.com/images/I/81fSDKgL-SL.jpg")</f>
        <v/>
      </c>
      <c r="B161" s="86" t="inlineStr">
        <is>
          <t>ACCURATEX</t>
        </is>
      </c>
      <c r="C161" s="32" t="inlineStr">
        <is>
          <t>ACCURATEX Cooling Sheets for Hot Sleepers, King Size, Grey</t>
        </is>
      </c>
      <c r="D161" s="86" t="inlineStr">
        <is>
          <t>Poor</t>
        </is>
      </c>
      <c r="E161" s="87" t="inlineStr">
        <is>
          <t>B0GMGSMLQ1</t>
        </is>
      </c>
      <c r="F161" s="87" t="inlineStr">
        <is>
          <t>B09PYB9C45</t>
        </is>
      </c>
      <c r="G161" s="86" t="inlineStr">
        <is>
          <t>King</t>
        </is>
      </c>
      <c r="H161" s="86" t="inlineStr">
        <is>
          <t>Grey</t>
        </is>
      </c>
      <c r="I161" s="88" t="n">
        <v>51</v>
      </c>
      <c r="J161" s="32" t="inlineStr"/>
      <c r="K161" s="89" t="n">
        <v>69.98999999999999</v>
      </c>
      <c r="L161" s="89" t="n"/>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15 children</t>
        </is>
      </c>
      <c r="R161" s="88" t="n">
        <v>33423</v>
      </c>
      <c r="S161" s="88" t="n">
        <v>35</v>
      </c>
      <c r="T161" s="93">
        <f>IF(AND(ISNUMBER(K161),ISNUMBER(S161)),K161*S161*52/12,"")</f>
        <v/>
      </c>
      <c r="U161" s="94" t="n">
        <v>4.4</v>
      </c>
      <c r="V161" s="88" t="n">
        <v>1040</v>
      </c>
      <c r="W161" s="95" t="n">
        <v>46307</v>
      </c>
      <c r="X161" s="95" t="n">
        <v>44681</v>
      </c>
      <c r="Y161" s="86" t="inlineStr">
        <is>
          <t>FBA</t>
        </is>
      </c>
      <c r="Z161" s="86" t="inlineStr">
        <is>
          <t>CN</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69.98999999999999</v>
      </c>
      <c r="AV161" s="98" t="inlineStr">
        <is>
          <t>none</t>
        </is>
      </c>
      <c r="AW161" s="98" t="inlineStr">
        <is>
          <t>Y</t>
        </is>
      </c>
      <c r="AX161" s="98" t="inlineStr">
        <is>
          <t>2026-10-13 23:35:28</t>
        </is>
      </c>
      <c r="AY161" s="100" t="inlineStr">
        <is>
          <t>Prime Exclusive Discount</t>
        </is>
      </c>
      <c r="AZ161" s="100" t="inlineStr">
        <is>
          <t>11-26 to 12-01</t>
        </is>
      </c>
      <c r="BA161" s="101" t="n">
        <v>59.49</v>
      </c>
      <c r="BB161" s="101" t="n">
        <v>59.49</v>
      </c>
      <c r="BC161" s="90">
        <f>IF(AND(ISNUMBER(BA161),ISNUMBER(BB161),N(BA161)&gt;0),1-BB161/BA161,"")</f>
        <v/>
      </c>
      <c r="BD161" s="102" t="n">
        <v>33899</v>
      </c>
      <c r="BE161" s="102" t="n">
        <v>51988</v>
      </c>
      <c r="BF161" s="103">
        <f>IF(AND(ISNUMBER(BD161),ISNUMBER(BE161),N(BE161)&gt;0),BD161/BE161,"")</f>
        <v/>
      </c>
      <c r="BG161" s="100" t="inlineStr">
        <is>
          <t>N</t>
        </is>
      </c>
      <c r="BH161" s="100" t="inlineStr">
        <is>
          <t>Lightning Deal 11-13 to 11-13; Buy Box RAISED in BFCM week (median $74.99 vs $69.99 before); List Price $74.99</t>
        </is>
      </c>
    </row>
    <row r="162" ht="62" customHeight="1">
      <c r="A162" s="10">
        <f>_xlfn.IMAGE("https://images-na.ssl-images-amazon.com/images/I/61NbNWE+BJL.jpg")</f>
        <v/>
      </c>
      <c r="B162" s="86" t="inlineStr">
        <is>
          <t>Cozy Earth</t>
        </is>
      </c>
      <c r="C162" s="32" t="inlineStr">
        <is>
          <t>Cozy Earth Luxury Bed Sheet Set, 100% Viscose from Bamboo Fabric</t>
        </is>
      </c>
      <c r="D162" s="86" t="inlineStr">
        <is>
          <t>Poor</t>
        </is>
      </c>
      <c r="E162" s="87" t="inlineStr">
        <is>
          <t>B0DSQ9V4ML</t>
        </is>
      </c>
      <c r="F162" s="87" t="inlineStr">
        <is>
          <t>B0F22JR4S8</t>
        </is>
      </c>
      <c r="G162" s="86" t="inlineStr">
        <is>
          <t>King</t>
        </is>
      </c>
      <c r="H162" s="86" t="inlineStr">
        <is>
          <t>White</t>
        </is>
      </c>
      <c r="I162" s="88" t="n">
        <v>54</v>
      </c>
      <c r="J162" s="32" t="inlineStr"/>
      <c r="K162" s="89" t="n">
        <v>328</v>
      </c>
      <c r="L162" s="89" t="n"/>
      <c r="M162" s="90">
        <f>IF(AND(ISNUMBER(L162),ISNUMBER(K162),N(K162)&gt;0),L162/K162-1,"")</f>
        <v/>
      </c>
      <c r="N162" s="91">
        <f>IF(M162="","No List Price",IF(M162&lt;=0,"At/below price",IF(M162&lt;=0.12,"&lt;=12% STR zone",IF(M162&lt;=0.25,"12-25%","&gt;25% over"))))</f>
        <v/>
      </c>
      <c r="O162" s="89" t="n">
        <v>99.98999999999999</v>
      </c>
      <c r="P162" s="92">
        <f>IF(AND(ISNUMBER(K162),ISNUMBER(O162),N(O162)&gt;0),K162/O162-1,"")</f>
        <v/>
      </c>
      <c r="Q162" s="32" t="inlineStr">
        <is>
          <t>Same size (King). Ours live: Helium 10 Xray, 2026-10-13; 15 children</t>
        </is>
      </c>
      <c r="R162" s="88" t="n">
        <v>45709</v>
      </c>
      <c r="S162" s="88" t="n">
        <v>35</v>
      </c>
      <c r="T162" s="93">
        <f>IF(AND(ISNUMBER(K162),ISNUMBER(S162)),K162*S162*52/12,"")</f>
        <v/>
      </c>
      <c r="U162" s="94" t="n">
        <v>3.9</v>
      </c>
      <c r="V162" s="88" t="n">
        <v>425</v>
      </c>
      <c r="W162" s="95" t="n">
        <v>46307</v>
      </c>
      <c r="X162" s="95" t="n">
        <v>41624</v>
      </c>
      <c r="Y162" s="86" t="inlineStr">
        <is>
          <t>FBA</t>
        </is>
      </c>
      <c r="Z162" s="86" t="inlineStr">
        <is>
          <t>US</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328</v>
      </c>
      <c r="AV162" s="98" t="inlineStr">
        <is>
          <t>none</t>
        </is>
      </c>
      <c r="AW162" s="98" t="inlineStr">
        <is>
          <t>Y</t>
        </is>
      </c>
      <c r="AX162" s="98" t="inlineStr">
        <is>
          <t>2026-10-13 23:36:06</t>
        </is>
      </c>
      <c r="AY162" s="100" t="inlineStr">
        <is>
          <t>Prime Exclusive Discount</t>
        </is>
      </c>
      <c r="AZ162" s="100" t="inlineStr">
        <is>
          <t>11-27 to 12-01</t>
        </is>
      </c>
      <c r="BA162" s="101" t="n">
        <v>262.4</v>
      </c>
      <c r="BB162" s="101" t="n">
        <v>229.6</v>
      </c>
      <c r="BC162" s="90">
        <f>IF(AND(ISNUMBER(BA162),ISNUMBER(BB162),N(BA162)&gt;0),1-BB162/BA162,"")</f>
        <v/>
      </c>
      <c r="BD162" s="102" t="n">
        <v>51830</v>
      </c>
      <c r="BE162" s="102" t="n">
        <v>28404</v>
      </c>
      <c r="BF162" s="103">
        <f>IF(AND(ISNUMBER(BD162),ISNUMBER(BE162),N(BE162)&gt;0),BD162/BE162,"")</f>
        <v/>
      </c>
      <c r="BG162" s="100" t="inlineStr">
        <is>
          <t>N</t>
        </is>
      </c>
      <c r="BH162" s="100" t="inlineStr">
        <is>
          <t>List Price $328.00</t>
        </is>
      </c>
    </row>
    <row r="163" ht="62" customHeight="1">
      <c r="A163" s="10">
        <f>_xlfn.IMAGE("https://images-na.ssl-images-amazon.com/images/I/61iqSV9TaLL.jpg")</f>
        <v/>
      </c>
      <c r="B163" s="86" t="inlineStr">
        <is>
          <t>DREAMCARE</t>
        </is>
      </c>
      <c r="C163" s="32" t="inlineStr">
        <is>
          <t>DREAMCARE 100% Rayon Bamboo Sheets King Size - 4pc Cooling Sheets King Size</t>
        </is>
      </c>
      <c r="D163" s="86" t="inlineStr">
        <is>
          <t>Poor</t>
        </is>
      </c>
      <c r="E163" s="87" t="inlineStr">
        <is>
          <t>B0DVZFLVMG</t>
        </is>
      </c>
      <c r="F163" s="87" t="inlineStr">
        <is>
          <t>B0CF2MND41</t>
        </is>
      </c>
      <c r="G163" s="86" t="inlineStr">
        <is>
          <t>King</t>
        </is>
      </c>
      <c r="H163" s="86" t="inlineStr">
        <is>
          <t>5 - Gray</t>
        </is>
      </c>
      <c r="I163" s="88" t="n">
        <v>30</v>
      </c>
      <c r="J163" s="32" t="inlineStr"/>
      <c r="K163" s="89" t="n">
        <v>46.74</v>
      </c>
      <c r="L163" s="89" t="n">
        <v>59.99</v>
      </c>
      <c r="M163" s="90">
        <f>IF(AND(ISNUMBER(L163),ISNUMBER(K163),N(K163)&gt;0),L163/K163-1,"")</f>
        <v/>
      </c>
      <c r="N163" s="91">
        <f>IF(M163="","No List Price",IF(M163&lt;=0,"At/below price",IF(M163&lt;=0.12,"&lt;=12% STR zone",IF(M163&lt;=0.25,"12-25%","&gt;25% over"))))</f>
        <v/>
      </c>
      <c r="O163" s="89" t="n">
        <v>99.98999999999999</v>
      </c>
      <c r="P163" s="92">
        <f>IF(AND(ISNUMBER(K163),ISNUMBER(O163),N(O163)&gt;0),K163/O163-1,"")</f>
        <v/>
      </c>
      <c r="Q163" s="32" t="inlineStr">
        <is>
          <t>Same size (King). Ours live: Helium 10 Xray, 2026-10-13; 15 children</t>
        </is>
      </c>
      <c r="R163" s="88" t="n">
        <v>37217</v>
      </c>
      <c r="S163" s="88" t="n">
        <v>35</v>
      </c>
      <c r="T163" s="93">
        <f>IF(AND(ISNUMBER(K163),ISNUMBER(S163)),K163*S163*52/12,"")</f>
        <v/>
      </c>
      <c r="U163" s="94" t="n">
        <v>4.5</v>
      </c>
      <c r="V163" s="88" t="n">
        <v>2261</v>
      </c>
      <c r="W163" s="95" t="n">
        <v>46307</v>
      </c>
      <c r="X163" s="95" t="n">
        <v>45146</v>
      </c>
      <c r="Y163" s="86" t="inlineStr">
        <is>
          <t>FBA</t>
        </is>
      </c>
      <c r="Z163" s="86" t="inlineStr">
        <is>
          <t>US</t>
        </is>
      </c>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List Price</t>
        </is>
      </c>
      <c r="AT163" s="99" t="n">
        <v>59.99</v>
      </c>
      <c r="AU163" s="99" t="n">
        <v>46.74</v>
      </c>
      <c r="AV163" s="98" t="inlineStr">
        <is>
          <t>Limited time deal</t>
        </is>
      </c>
      <c r="AW163" s="98" t="inlineStr">
        <is>
          <t>Y</t>
        </is>
      </c>
      <c r="AX163" s="98" t="inlineStr">
        <is>
          <t>2026-10-13 23:36:12</t>
        </is>
      </c>
      <c r="AY163" s="100" t="inlineStr">
        <is>
          <t>Prime Exclusive Discount</t>
        </is>
      </c>
      <c r="AZ163" s="100" t="inlineStr">
        <is>
          <t>11-22 to 12-01</t>
        </is>
      </c>
      <c r="BA163" s="101" t="n">
        <v>58.99</v>
      </c>
      <c r="BB163" s="101" t="n">
        <v>49.99</v>
      </c>
      <c r="BC163" s="90">
        <f>IF(AND(ISNUMBER(BA163),ISNUMBER(BB163),N(BA163)&gt;0),1-BB163/BA163,"")</f>
        <v/>
      </c>
      <c r="BD163" s="102" t="n">
        <v>209915</v>
      </c>
      <c r="BE163" s="102" t="n">
        <v>169120</v>
      </c>
      <c r="BF163" s="103">
        <f>IF(AND(ISNUMBER(BD163),ISNUMBER(BE163),N(BE163)&gt;0),BD163/BE163,"")</f>
        <v/>
      </c>
      <c r="BG163" s="100" t="inlineStr">
        <is>
          <t>N</t>
        </is>
      </c>
      <c r="BH163" s="100" t="inlineStr">
        <is>
          <t>Buy Box RAISED in BFCM week (median $62.88 vs $58.99 before); List Price $58.99</t>
        </is>
      </c>
    </row>
    <row r="164" ht="62" customHeight="1">
      <c r="A164" s="10">
        <f>_xlfn.IMAGE("https://images-na.ssl-images-amazon.com/images/I/81noqNc+ZjL.jpg")</f>
        <v/>
      </c>
      <c r="B164" s="86" t="inlineStr">
        <is>
          <t>HOT SLEEPER SHEETS</t>
        </is>
      </c>
      <c r="C164" s="32" t="inlineStr">
        <is>
          <t>Cooling Sheets Set Queen Size, Viscose Derived from Bamboo for Hot Sleepers | Deep Pocket Up to 16 Inch | Silky Soft &amp; Breathable Bedding - 4PC (Queen, Navy)</t>
        </is>
      </c>
      <c r="D164" s="86" t="inlineStr">
        <is>
          <t>Poor</t>
        </is>
      </c>
      <c r="E164" s="87" t="inlineStr">
        <is>
          <t>B0DM3GDCTR</t>
        </is>
      </c>
      <c r="F164" s="87" t="inlineStr">
        <is>
          <t>B0D3XQM7DL</t>
        </is>
      </c>
      <c r="G164" s="86" t="inlineStr">
        <is>
          <t>Queen</t>
        </is>
      </c>
      <c r="H164" s="86" t="inlineStr">
        <is>
          <t>Navy</t>
        </is>
      </c>
      <c r="I164" s="88" t="n">
        <v>74</v>
      </c>
      <c r="J164" s="32" t="inlineStr"/>
      <c r="K164" s="89" t="n">
        <v>51.29</v>
      </c>
      <c r="L164" s="89" t="n">
        <v>62.99</v>
      </c>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33959</v>
      </c>
      <c r="S164" s="88" t="n">
        <v>35</v>
      </c>
      <c r="T164" s="93">
        <f>IF(AND(ISNUMBER(K164),ISNUMBER(S164)),K164*S164*52/12,"")</f>
        <v/>
      </c>
      <c r="U164" s="94" t="n">
        <v>4.4</v>
      </c>
      <c r="V164" s="88" t="n">
        <v>674</v>
      </c>
      <c r="W164" s="95" t="n">
        <v>46307</v>
      </c>
      <c r="X164" s="95" t="n">
        <v>45423</v>
      </c>
      <c r="Y164" s="86" t="inlineStr">
        <is>
          <t>FBA</t>
        </is>
      </c>
      <c r="Z164" s="86" t="inlineStr">
        <is>
          <t>CN</t>
        </is>
      </c>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Typical price</t>
        </is>
      </c>
      <c r="AT164" s="99" t="n">
        <v>62.99</v>
      </c>
      <c r="AU164" s="99" t="n">
        <v>51.29</v>
      </c>
      <c r="AV164" s="98" t="inlineStr">
        <is>
          <t>Limited time deal</t>
        </is>
      </c>
      <c r="AW164" s="98" t="inlineStr">
        <is>
          <t>Y</t>
        </is>
      </c>
      <c r="AX164" s="98" t="inlineStr">
        <is>
          <t>2026-10-13 23:36:21</t>
        </is>
      </c>
      <c r="AY164" s="100" t="inlineStr">
        <is>
          <t>Price cut only</t>
        </is>
      </c>
      <c r="AZ164" s="100" t="inlineStr">
        <is>
          <t>11-20 to 12-01</t>
        </is>
      </c>
      <c r="BA164" s="101" t="n">
        <v>62.99</v>
      </c>
      <c r="BB164" s="101" t="n">
        <v>45.89</v>
      </c>
      <c r="BC164" s="90">
        <f>IF(AND(ISNUMBER(BA164),ISNUMBER(BB164),N(BA164)&gt;0),1-BB164/BA164,"")</f>
        <v/>
      </c>
      <c r="BD164" s="102" t="n">
        <v>44317</v>
      </c>
      <c r="BE164" s="102" t="n">
        <v>18465</v>
      </c>
      <c r="BF164" s="103">
        <f>IF(AND(ISNUMBER(BD164),ISNUMBER(BE164),N(BE164)&gt;0),BD164/BE164,"")</f>
        <v/>
      </c>
      <c r="BG164" s="100" t="inlineStr">
        <is>
          <t>N</t>
        </is>
      </c>
      <c r="BH164" s="100" t="inlineStr">
        <is>
          <t>List Price $107.98</t>
        </is>
      </c>
    </row>
    <row r="165" ht="62" customHeight="1">
      <c r="A165" s="10">
        <f>_xlfn.IMAGE("https://images-na.ssl-images-amazon.com/images/I/71+O+E9PlaL.jpg")</f>
        <v/>
      </c>
      <c r="B165" s="86" t="inlineStr">
        <is>
          <t>Shilucheng</t>
        </is>
      </c>
      <c r="C165" s="32" t="inlineStr">
        <is>
          <t>Shilucheng 100% Viscose Derived from Bamboo_ Sheets Queen Size 4pcs</t>
        </is>
      </c>
      <c r="D165" s="86" t="inlineStr">
        <is>
          <t>Poor</t>
        </is>
      </c>
      <c r="E165" s="87" t="inlineStr">
        <is>
          <t>B0HK5V5KL1</t>
        </is>
      </c>
      <c r="F165" s="87" t="inlineStr">
        <is>
          <t>B09PYKYCCF</t>
        </is>
      </c>
      <c r="G165" s="86" t="inlineStr">
        <is>
          <t>Queen</t>
        </is>
      </c>
      <c r="H165" s="86" t="inlineStr">
        <is>
          <t>01 - Dark Grey</t>
        </is>
      </c>
      <c r="I165" s="88" t="n">
        <v>79</v>
      </c>
      <c r="J165" s="32" t="inlineStr"/>
      <c r="K165" s="89" t="n">
        <v>46.66</v>
      </c>
      <c r="L165" s="89" t="n">
        <v>54.9</v>
      </c>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26043</v>
      </c>
      <c r="S165" s="88" t="n">
        <v>35</v>
      </c>
      <c r="T165" s="93">
        <f>IF(AND(ISNUMBER(K165),ISNUMBER(S165)),K165*S165*52/12,"")</f>
        <v/>
      </c>
      <c r="U165" s="94" t="n">
        <v>4.4</v>
      </c>
      <c r="V165" s="88" t="n">
        <v>6629</v>
      </c>
      <c r="W165" s="95" t="n">
        <v>46307</v>
      </c>
      <c r="X165" s="95" t="n">
        <v>44652</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v>-0.9774436090225564</v>
      </c>
      <c r="AR165" s="98" t="inlineStr">
        <is>
          <t>Y</t>
        </is>
      </c>
      <c r="AS165" s="98" t="inlineStr">
        <is>
          <t>List Price</t>
        </is>
      </c>
      <c r="AT165" s="99" t="n">
        <v>54.9</v>
      </c>
      <c r="AU165" s="99" t="n">
        <v>46.66</v>
      </c>
      <c r="AV165" s="98" t="inlineStr">
        <is>
          <t>Limited time deal</t>
        </is>
      </c>
      <c r="AW165" s="98" t="inlineStr">
        <is>
          <t>Y</t>
        </is>
      </c>
      <c r="AX165" s="98" t="inlineStr">
        <is>
          <t>2026-10-13 23:36:49</t>
        </is>
      </c>
      <c r="AY165" s="100" t="inlineStr">
        <is>
          <t>Prime Exclusive Discount</t>
        </is>
      </c>
      <c r="AZ165" s="100" t="inlineStr">
        <is>
          <t>11-23 to 12-01</t>
        </is>
      </c>
      <c r="BA165" s="101" t="n">
        <v>54.9</v>
      </c>
      <c r="BB165" s="101" t="n">
        <v>46.64</v>
      </c>
      <c r="BC165" s="90">
        <f>IF(AND(ISNUMBER(BA165),ISNUMBER(BB165),N(BA165)&gt;0),1-BB165/BA165,"")</f>
        <v/>
      </c>
      <c r="BD165" s="102" t="n">
        <v>15970</v>
      </c>
      <c r="BE165" s="102" t="n">
        <v>18592</v>
      </c>
      <c r="BF165" s="103">
        <f>IF(AND(ISNUMBER(BD165),ISNUMBER(BE165),N(BE165)&gt;0),BD165/BE165,"")</f>
        <v/>
      </c>
      <c r="BG165" s="100" t="inlineStr">
        <is>
          <t>N</t>
        </is>
      </c>
      <c r="BH165" s="100" t="inlineStr">
        <is>
          <t>Buy Box RAISED in BFCM week (median $58.30 vs $54.90 before); List Price $59.90</t>
        </is>
      </c>
    </row>
    <row r="166" ht="62" customHeight="1">
      <c r="A166" s="10">
        <f>_xlfn.IMAGE("https://m.media-amazon.com/images/I/71zexS-HoPL._AC_SL1500_.jpg")</f>
        <v/>
      </c>
      <c r="B166" s="86" t="inlineStr">
        <is>
          <t>Bamtek</t>
        </is>
      </c>
      <c r="C166" s="32" t="inlineStr">
        <is>
          <t>Viscose Bamboo Sheets Queen Size 4PC Set - Cooling Bedding for Hot Sleepers with</t>
        </is>
      </c>
      <c r="D166" s="86" t="inlineStr">
        <is>
          <t>Poor</t>
        </is>
      </c>
      <c r="E166" s="87" t="inlineStr">
        <is>
          <t>B0CZHCZQZ3</t>
        </is>
      </c>
      <c r="F166" s="87" t="inlineStr">
        <is>
          <t>B09TQ6ZVKZ</t>
        </is>
      </c>
      <c r="G166" s="86" t="inlineStr">
        <is>
          <t>Queen</t>
        </is>
      </c>
      <c r="H166" s="86" t="inlineStr">
        <is>
          <t>Sage</t>
        </is>
      </c>
      <c r="I166" s="88" t="n"/>
      <c r="J166" s="32" t="inlineStr"/>
      <c r="K166" s="89" t="n">
        <v>94.98999999999999</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(Queen). Ours live: Helium 10 Xray, 2026-10-13; 15 children</t>
        </is>
      </c>
      <c r="R166" s="88" t="n">
        <v>79376</v>
      </c>
      <c r="S166" s="88" t="n">
        <v>18</v>
      </c>
      <c r="T166" s="93">
        <f>IF(AND(ISNUMBER(K166),ISNUMBER(S166)),K166*S166*52/12,"")</f>
        <v/>
      </c>
      <c r="U166" s="94" t="n">
        <v>4.4</v>
      </c>
      <c r="V166" s="88" t="n">
        <v>641</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94.98999999999999</v>
      </c>
      <c r="AV166" s="98" t="inlineStr">
        <is>
          <t>none</t>
        </is>
      </c>
      <c r="AW166" s="98" t="inlineStr">
        <is>
          <t>Y</t>
        </is>
      </c>
      <c r="AX166" s="98" t="inlineStr">
        <is>
          <t>2026-10-13 23:35:47</t>
        </is>
      </c>
      <c r="AY166" s="100" t="inlineStr">
        <is>
          <t>Prime Exclusive Discount</t>
        </is>
      </c>
      <c r="AZ166" s="100" t="inlineStr">
        <is>
          <t>11-24 to 12-01</t>
        </is>
      </c>
      <c r="BA166" s="101" t="n">
        <v>104.99</v>
      </c>
      <c r="BB166" s="101" t="n">
        <v>83.98999999999999</v>
      </c>
      <c r="BC166" s="90">
        <f>IF(AND(ISNUMBER(BA166),ISNUMBER(BB166),N(BA166)&gt;0),1-BB166/BA166,"")</f>
        <v/>
      </c>
      <c r="BD166" s="102" t="n">
        <v>99218</v>
      </c>
      <c r="BE166" s="102" t="n">
        <v>70530</v>
      </c>
      <c r="BF166" s="103">
        <f>IF(AND(ISNUMBER(BD166),ISNUMBER(BE166),N(BE166)&gt;0),BD166/BE166,"")</f>
        <v/>
      </c>
      <c r="BG166" s="100" t="inlineStr">
        <is>
          <t>N</t>
        </is>
      </c>
      <c r="BH166" s="100" t="inlineStr">
        <is>
          <t>Coupon 40.00 USD (11-01 to 11-10); List Price $129.99</t>
        </is>
      </c>
    </row>
    <row r="167" ht="62" customHeight="1">
      <c r="A167" s="10">
        <f>_xlfn.IMAGE("https://images-na.ssl-images-amazon.com/images/I/61imzycbiwL.jpg")</f>
        <v/>
      </c>
      <c r="B167" s="86" t="inlineStr">
        <is>
          <t>JSD</t>
        </is>
      </c>
      <c r="C167" s="32" t="inlineStr">
        <is>
          <t>JSD Sage Green 100% Viscose Derived from Bamboo Cooling Sheet Set Queen</t>
        </is>
      </c>
      <c r="D167" s="86" t="inlineStr">
        <is>
          <t>Poor</t>
        </is>
      </c>
      <c r="E167" s="87" t="inlineStr">
        <is>
          <t>B0DTY15N29</t>
        </is>
      </c>
      <c r="F167" s="87" t="inlineStr">
        <is>
          <t>B0DSZTLBV1</t>
        </is>
      </c>
      <c r="G167" s="86" t="inlineStr">
        <is>
          <t>Queen</t>
        </is>
      </c>
      <c r="H167" s="86" t="inlineStr">
        <is>
          <t>Green</t>
        </is>
      </c>
      <c r="I167" s="88" t="n">
        <v>32</v>
      </c>
      <c r="J167" s="32" t="inlineStr"/>
      <c r="K167" s="89" t="n">
        <v>56.99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76312</v>
      </c>
      <c r="S167" s="88" t="n">
        <v>18</v>
      </c>
      <c r="T167" s="93">
        <f>IF(AND(ISNUMBER(K167),ISNUMBER(S167)),K167*S167*52/12,"")</f>
        <v/>
      </c>
      <c r="U167" s="94" t="n">
        <v>4.3</v>
      </c>
      <c r="V167" s="88" t="n">
        <v>281</v>
      </c>
      <c r="W167" s="95" t="n">
        <v>46307</v>
      </c>
      <c r="X167" s="95" t="n">
        <v>45671</v>
      </c>
      <c r="Y167" s="86" t="inlineStr">
        <is>
          <t>FBA</t>
        </is>
      </c>
      <c r="Z167" s="86" t="inlineStr">
        <is>
          <t>CN</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56.99</v>
      </c>
      <c r="AV167" s="98" t="inlineStr">
        <is>
          <t>none</t>
        </is>
      </c>
      <c r="AW167" s="98" t="inlineStr">
        <is>
          <t>Y</t>
        </is>
      </c>
      <c r="AX167" s="98" t="inlineStr">
        <is>
          <t>2026-10-13 23:36:24</t>
        </is>
      </c>
      <c r="AY167" s="100" t="inlineStr">
        <is>
          <t>None</t>
        </is>
      </c>
      <c r="AZ167" s="105" t="n"/>
      <c r="BA167" s="101" t="n">
        <v>56.99</v>
      </c>
      <c r="BB167" s="101" t="n">
        <v>56.99</v>
      </c>
      <c r="BC167" s="90">
        <f>IF(AND(ISNUMBER(BA167),ISNUMBER(BB167),N(BA167)&gt;0),1-BB167/BA167,"")</f>
        <v/>
      </c>
      <c r="BD167" s="102" t="n">
        <v>97969</v>
      </c>
      <c r="BE167" s="102" t="n">
        <v>108941</v>
      </c>
      <c r="BF167" s="103">
        <f>IF(AND(ISNUMBER(BD167),ISNUMBER(BE167),N(BE167)&gt;0),BD167/BE167,"")</f>
        <v/>
      </c>
      <c r="BG167" s="100" t="inlineStr">
        <is>
          <t>N</t>
        </is>
      </c>
      <c r="BH167" s="100" t="inlineStr">
        <is>
          <t>Coupon 5% (11-01 to 11-17); List Price $74.99</t>
        </is>
      </c>
    </row>
    <row r="168" ht="62" customHeight="1">
      <c r="A168" s="10">
        <f>_xlfn.IMAGE("https://images-na.ssl-images-amazon.com/images/I/71zrq2AtnUL.jpg")</f>
        <v/>
      </c>
      <c r="B168" s="86" t="inlineStr">
        <is>
          <t>Kickoff Home</t>
        </is>
      </c>
      <c r="C168" s="32" t="inlineStr">
        <is>
          <t>Bamboo Sheets</t>
        </is>
      </c>
      <c r="D168" s="86" t="inlineStr">
        <is>
          <t>Poor</t>
        </is>
      </c>
      <c r="E168" s="87" t="inlineStr">
        <is>
          <t>B0D4KS4MVX</t>
        </is>
      </c>
      <c r="F168" s="87" t="inlineStr">
        <is>
          <t>B0CHN5ZPFH</t>
        </is>
      </c>
      <c r="G168" s="86" t="inlineStr">
        <is>
          <t>King</t>
        </is>
      </c>
      <c r="H168" s="86" t="inlineStr">
        <is>
          <t>Sage Green</t>
        </is>
      </c>
      <c r="I168" s="88" t="n">
        <v>106</v>
      </c>
      <c r="J168" s="32" t="inlineStr">
        <is>
          <t>B0CHN5ZPFH (27%), B0CHN6N986 (11%), B0G84K7MZQ (9%), B0G84MQQX4 (8%), B0CHN4BSZP (5%)</t>
        </is>
      </c>
      <c r="K168" s="89" t="n">
        <v>86.98999999999999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15 children</t>
        </is>
      </c>
      <c r="R168" s="88" t="n">
        <v>23579</v>
      </c>
      <c r="S168" s="88" t="n">
        <v>18</v>
      </c>
      <c r="T168" s="93">
        <f>IF(AND(ISNUMBER(K168),ISNUMBER(S168)),K168*S168*52/12,"")</f>
        <v/>
      </c>
      <c r="U168" s="94" t="n">
        <v>4.6</v>
      </c>
      <c r="V168" s="88" t="n">
        <v>688</v>
      </c>
      <c r="W168" s="95" t="n">
        <v>46307</v>
      </c>
      <c r="X168" s="95" t="n"/>
      <c r="Y168" s="86" t="n"/>
      <c r="Z168" s="86" t="n"/>
      <c r="AA168" s="88" t="n">
        <v>58169</v>
      </c>
      <c r="AB168" s="88" t="n">
        <v>1164</v>
      </c>
      <c r="AC168" s="96" t="n">
        <v>0.8765498702057799</v>
      </c>
      <c r="AD168" s="96" t="n">
        <v>0.12345023981846</v>
      </c>
      <c r="AE168" s="32" t="inlineStr">
        <is>
          <t>bamboo sheets</t>
        </is>
      </c>
      <c r="AF168" s="96" t="n">
        <v>0.6749987106534409</v>
      </c>
      <c r="AG168" s="96" t="n"/>
      <c r="AH168" s="96" t="n">
        <v>0.08715982739947395</v>
      </c>
      <c r="AI168" s="96" t="n">
        <v>0.0003782083240213859</v>
      </c>
      <c r="AJ168" s="88" t="n">
        <v>652</v>
      </c>
      <c r="AK168" s="88" t="n">
        <v>395</v>
      </c>
      <c r="AL168" s="88" t="n">
        <v>185</v>
      </c>
      <c r="AM168" s="88" t="n">
        <v>512</v>
      </c>
      <c r="AN168" s="88" t="n">
        <v>45</v>
      </c>
      <c r="AO168" s="88" t="n">
        <v>45</v>
      </c>
      <c r="AP168" s="97" t="n"/>
      <c r="AQ168" s="92" t="n"/>
      <c r="AR168" s="98" t="inlineStr">
        <is>
          <t>N</t>
        </is>
      </c>
      <c r="AS168" s="98" t="inlineStr">
        <is>
          <t>none</t>
        </is>
      </c>
      <c r="AT168" s="104" t="n"/>
      <c r="AU168" s="99" t="n">
        <v>86.98999999999999</v>
      </c>
      <c r="AV168" s="98" t="inlineStr">
        <is>
          <t>none</t>
        </is>
      </c>
      <c r="AW168" s="98" t="inlineStr">
        <is>
          <t>Y</t>
        </is>
      </c>
      <c r="AX168" s="98" t="inlineStr">
        <is>
          <t>2026-10-13 23:36:30</t>
        </is>
      </c>
      <c r="AY168" s="100" t="inlineStr">
        <is>
          <t>Price cut only</t>
        </is>
      </c>
      <c r="AZ168" s="100" t="inlineStr">
        <is>
          <t>11-21 to 12-01</t>
        </is>
      </c>
      <c r="BA168" s="101" t="n">
        <v>118.99</v>
      </c>
      <c r="BB168" s="101" t="n">
        <v>79.13</v>
      </c>
      <c r="BC168" s="90">
        <f>IF(AND(ISNUMBER(BA168),ISNUMBER(BB168),N(BA168)&gt;0),1-BB168/BA168,"")</f>
        <v/>
      </c>
      <c r="BD168" s="102" t="n">
        <v>70541</v>
      </c>
      <c r="BE168" s="102" t="n">
        <v>28546</v>
      </c>
      <c r="BF168" s="103">
        <f>IF(AND(ISNUMBER(BD168),ISNUMBER(BE168),N(BE168)&gt;0),BD168/BE168,"")</f>
        <v/>
      </c>
      <c r="BG168" s="100" t="inlineStr">
        <is>
          <t>N</t>
        </is>
      </c>
      <c r="BH168" s="100" t="inlineStr">
        <is>
          <t>Coupon 25% (11-01 to 11-05); List Price $124.99</t>
        </is>
      </c>
    </row>
    <row r="169" ht="62" customHeight="1">
      <c r="A169" s="10">
        <f>_xlfn.IMAGE("https://m.media-amazon.com/images/I/81xjJeiirqL._AC_SL1500_.jpg")</f>
        <v/>
      </c>
      <c r="B169" s="86" t="inlineStr">
        <is>
          <t>LB Luxury Bamboo Market</t>
        </is>
      </c>
      <c r="C169" s="32" t="inlineStr">
        <is>
          <t>Bamboo Sheets</t>
        </is>
      </c>
      <c r="D169" s="86" t="inlineStr">
        <is>
          <t>Poor</t>
        </is>
      </c>
      <c r="E169" s="87" t="inlineStr">
        <is>
          <t>B0D1HWHDL2</t>
        </is>
      </c>
      <c r="F169" s="87" t="inlineStr">
        <is>
          <t>B0CH7N9WVC</t>
        </is>
      </c>
      <c r="G169" s="86" t="inlineStr">
        <is>
          <t>Queen</t>
        </is>
      </c>
      <c r="H169" s="86" t="inlineStr">
        <is>
          <t>Dune</t>
        </is>
      </c>
      <c r="I169" s="88" t="n"/>
      <c r="J169" s="32" t="inlineStr"/>
      <c r="K169" s="89" t="n">
        <v>129.94</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47800</v>
      </c>
      <c r="S169" s="88" t="n">
        <v>18</v>
      </c>
      <c r="T169" s="93">
        <f>IF(AND(ISNUMBER(K169),ISNUMBER(S169)),K169*S169*52/12,"")</f>
        <v/>
      </c>
      <c r="U169" s="94" t="n">
        <v>4.5</v>
      </c>
      <c r="V169" s="88" t="n">
        <v>517</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129.94</v>
      </c>
      <c r="AV169" s="98" t="inlineStr">
        <is>
          <t>none</t>
        </is>
      </c>
      <c r="AW169" s="98" t="inlineStr">
        <is>
          <t>Y</t>
        </is>
      </c>
      <c r="AX169" s="98" t="inlineStr">
        <is>
          <t>2026-10-13 23:36:34</t>
        </is>
      </c>
      <c r="AY169" s="100" t="inlineStr">
        <is>
          <t>Prime Exclusive Discount</t>
        </is>
      </c>
      <c r="AZ169" s="100" t="inlineStr">
        <is>
          <t>11-26 to 12-01</t>
        </is>
      </c>
      <c r="BA169" s="101" t="n">
        <v>119.94</v>
      </c>
      <c r="BB169" s="101" t="n">
        <v>103.95</v>
      </c>
      <c r="BC169" s="90">
        <f>IF(AND(ISNUMBER(BA169),ISNUMBER(BB169),N(BA169)&gt;0),1-BB169/BA169,"")</f>
        <v/>
      </c>
      <c r="BD169" s="102" t="n">
        <v>73868</v>
      </c>
      <c r="BE169" s="102" t="n">
        <v>96746</v>
      </c>
      <c r="BF169" s="103">
        <f>IF(AND(ISNUMBER(BD169),ISNUMBER(BE169),N(BE169)&gt;0),BD169/BE169,"")</f>
        <v/>
      </c>
      <c r="BG169" s="100" t="inlineStr">
        <is>
          <t>N</t>
        </is>
      </c>
      <c r="BH169" s="100" t="inlineStr">
        <is>
          <t>List Price $159.94</t>
        </is>
      </c>
    </row>
    <row r="170" ht="62" customHeight="1">
      <c r="A170" s="10">
        <f>_xlfn.IMAGE("https://images-na.ssl-images-amazon.com/images/I/71NxE1i+4jL.jpg")</f>
        <v/>
      </c>
      <c r="B170" s="86" t="inlineStr">
        <is>
          <t>Shilucheng</t>
        </is>
      </c>
      <c r="C170" s="32" t="inlineStr">
        <is>
          <t>Shilucheng 100% Viscose Derived from Bamboo_Sheets, Extra Deep Pocket</t>
        </is>
      </c>
      <c r="D170" s="86" t="inlineStr">
        <is>
          <t>Poor</t>
        </is>
      </c>
      <c r="E170" s="87" t="inlineStr">
        <is>
          <t>B0HJVD7X1R</t>
        </is>
      </c>
      <c r="F170" s="87" t="inlineStr">
        <is>
          <t>B0F2TBWTZR</t>
        </is>
      </c>
      <c r="G170" s="86" t="inlineStr">
        <is>
          <t>King</t>
        </is>
      </c>
      <c r="H170" s="86" t="inlineStr">
        <is>
          <t>Dark Grey</t>
        </is>
      </c>
      <c r="I170" s="88" t="n">
        <v>32</v>
      </c>
      <c r="J170" s="32" t="inlineStr"/>
      <c r="K170" s="89" t="n">
        <v>69.98999999999999</v>
      </c>
      <c r="L170" s="89" t="n">
        <v>84.98999999999999</v>
      </c>
      <c r="M170" s="90">
        <f>IF(AND(ISNUMBER(L170),ISNUMBER(K170),N(K170)&gt;0),L170/K170-1,"")</f>
        <v/>
      </c>
      <c r="N170" s="91">
        <f>IF(M170="","No List Price",IF(M170&lt;=0,"At/below price",IF(M170&lt;=0.12,"&lt;=12% STR zone",IF(M170&lt;=0.25,"12-25%","&gt;25% over"))))</f>
        <v/>
      </c>
      <c r="O170" s="89" t="n">
        <v>99.98999999999999</v>
      </c>
      <c r="P170" s="92">
        <f>IF(AND(ISNUMBER(K170),ISNUMBER(O170),N(O170)&gt;0),K170/O170-1,"")</f>
        <v/>
      </c>
      <c r="Q170" s="32" t="inlineStr">
        <is>
          <t>Same size (King). Ours live: Helium 10 Xray, 2026-10-13; 15 children</t>
        </is>
      </c>
      <c r="R170" s="88" t="n">
        <v>39194</v>
      </c>
      <c r="S170" s="88" t="n">
        <v>18</v>
      </c>
      <c r="T170" s="93">
        <f>IF(AND(ISNUMBER(K170),ISNUMBER(S170)),K170*S170*52/12,"")</f>
        <v/>
      </c>
      <c r="U170" s="94" t="n">
        <v>4.5</v>
      </c>
      <c r="V170" s="88" t="n">
        <v>1639</v>
      </c>
      <c r="W170" s="95" t="n">
        <v>46307</v>
      </c>
      <c r="X170" s="95" t="n">
        <v>45744</v>
      </c>
      <c r="Y170" s="86" t="inlineStr">
        <is>
          <t>FBA</t>
        </is>
      </c>
      <c r="Z170" s="86" t="inlineStr">
        <is>
          <t>CN</t>
        </is>
      </c>
      <c r="AA170" s="88" t="n"/>
      <c r="AB170" s="88" t="n"/>
      <c r="AC170" s="96" t="n"/>
      <c r="AD170" s="96" t="n"/>
      <c r="AE170" s="32" t="n"/>
      <c r="AF170" s="96" t="n"/>
      <c r="AG170" s="96" t="n"/>
      <c r="AH170" s="96" t="n"/>
      <c r="AI170" s="96" t="n"/>
      <c r="AJ170" s="88" t="n"/>
      <c r="AK170" s="88" t="n"/>
      <c r="AL170" s="88" t="n"/>
      <c r="AM170" s="88" t="n"/>
      <c r="AN170" s="88" t="n"/>
      <c r="AO170" s="88" t="n"/>
      <c r="AP170" s="97" t="n"/>
      <c r="AQ170" s="92" t="n">
        <v>-0.9655172413793104</v>
      </c>
      <c r="AR170" s="98" t="inlineStr">
        <is>
          <t>Y</t>
        </is>
      </c>
      <c r="AS170" s="98" t="inlineStr">
        <is>
          <t>List Price</t>
        </is>
      </c>
      <c r="AT170" s="99" t="n">
        <v>84.98999999999999</v>
      </c>
      <c r="AU170" s="99" t="n">
        <v>69.98999999999999</v>
      </c>
      <c r="AV170" s="98" t="inlineStr">
        <is>
          <t>Limited time deal</t>
        </is>
      </c>
      <c r="AW170" s="98" t="inlineStr">
        <is>
          <t>Y</t>
        </is>
      </c>
      <c r="AX170" s="98" t="inlineStr">
        <is>
          <t>2026-10-13 23:36:52</t>
        </is>
      </c>
      <c r="AY170" s="100" t="inlineStr">
        <is>
          <t>Prime Exclusive Discount</t>
        </is>
      </c>
      <c r="AZ170" s="100" t="inlineStr">
        <is>
          <t>11-21 to 12-01</t>
        </is>
      </c>
      <c r="BA170" s="101" t="n">
        <v>84.98999999999999</v>
      </c>
      <c r="BB170" s="101" t="n">
        <v>64.59</v>
      </c>
      <c r="BC170" s="90">
        <f>IF(AND(ISNUMBER(BA170),ISNUMBER(BB170),N(BA170)&gt;0),1-BB170/BA170,"")</f>
        <v/>
      </c>
      <c r="BD170" s="102" t="n">
        <v>28104</v>
      </c>
      <c r="BE170" s="102" t="n">
        <v>38474</v>
      </c>
      <c r="BF170" s="103">
        <f>IF(AND(ISNUMBER(BD170),ISNUMBER(BE170),N(BE170)&gt;0),BD170/BE170,"")</f>
        <v/>
      </c>
      <c r="BG170" s="100" t="inlineStr">
        <is>
          <t>N</t>
        </is>
      </c>
      <c r="BH170" s="100" t="inlineStr">
        <is>
          <t>Coupon 20% (11-02 to 11-12); List Price $84.99</t>
        </is>
      </c>
    </row>
    <row r="171" ht="62" customHeight="1">
      <c r="A171" s="10">
        <f>_xlfn.IMAGE("https://m.media-amazon.com/images/I/61YnWQV27EL._AC_SL1024_.jpg")</f>
        <v/>
      </c>
      <c r="B171" s="86" t="inlineStr">
        <is>
          <t>Bamboo Bay</t>
        </is>
      </c>
      <c r="C171" s="32" t="inlineStr">
        <is>
          <t>Bamboo Sheets</t>
        </is>
      </c>
      <c r="D171" s="86" t="inlineStr">
        <is>
          <t>Poor</t>
        </is>
      </c>
      <c r="E171" s="87" t="inlineStr">
        <is>
          <t>B0DLF1SWJ5</t>
        </is>
      </c>
      <c r="F171" s="87" t="inlineStr">
        <is>
          <t>B07TBHLZJM</t>
        </is>
      </c>
      <c r="G171" s="86" t="inlineStr">
        <is>
          <t>Queen</t>
        </is>
      </c>
      <c r="H171" s="86" t="inlineStr">
        <is>
          <t>04 - Light Grey</t>
        </is>
      </c>
      <c r="I171" s="88" t="n"/>
      <c r="J171" s="32" t="inlineStr"/>
      <c r="K171" s="89" t="n">
        <v>79.98</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(Queen). Ours live: Helium 10 Xray, 2026-10-13; 15 children</t>
        </is>
      </c>
      <c r="R171" s="88" t="n">
        <v>131083</v>
      </c>
      <c r="S171" s="88" t="n">
        <v>5</v>
      </c>
      <c r="T171" s="93">
        <f>IF(AND(ISNUMBER(K171),ISNUMBER(S171)),K171*S171*52/12,"")</f>
        <v/>
      </c>
      <c r="U171" s="94" t="n">
        <v>4.5</v>
      </c>
      <c r="V171" s="88" t="n">
        <v>2691</v>
      </c>
      <c r="W171" s="95" t="n">
        <v>46307</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79.98</v>
      </c>
      <c r="AV171" s="98" t="inlineStr">
        <is>
          <t>none</t>
        </is>
      </c>
      <c r="AW171" s="98" t="inlineStr">
        <is>
          <t>Y</t>
        </is>
      </c>
      <c r="AX171" s="98" t="inlineStr">
        <is>
          <t>2026-10-13 23:35:44</t>
        </is>
      </c>
      <c r="AY171" s="100" t="inlineStr">
        <is>
          <t>None</t>
        </is>
      </c>
      <c r="AZ171" s="105" t="n"/>
      <c r="BA171" s="101" t="n">
        <v>86.98999999999999</v>
      </c>
      <c r="BB171" s="101" t="n">
        <v>93.48</v>
      </c>
      <c r="BC171" s="90">
        <f>IF(AND(ISNUMBER(BA171),ISNUMBER(BB171),N(BA171)&gt;0),1-BB171/BA171,"")</f>
        <v/>
      </c>
      <c r="BD171" s="102" t="n">
        <v>43439</v>
      </c>
      <c r="BE171" s="102" t="n">
        <v>53047</v>
      </c>
      <c r="BF171" s="103">
        <f>IF(AND(ISNUMBER(BD171),ISNUMBER(BE171),N(BE171)&gt;0),BD171/BE171,"")</f>
        <v/>
      </c>
      <c r="BG171" s="100" t="inlineStr">
        <is>
          <t>N</t>
        </is>
      </c>
      <c r="BH171" s="100" t="inlineStr">
        <is>
          <t>Buy Box RAISED in BFCM week (median $109.98 vs $86.99 before); List Price $129.98</t>
        </is>
      </c>
    </row>
    <row r="172" ht="62" customHeight="1">
      <c r="A172" s="10">
        <f>_xlfn.IMAGE("https://m.media-amazon.com/images/I/61se+-YHOaL._AC_SL1500_.jpg")</f>
        <v/>
      </c>
      <c r="B172" s="86" t="inlineStr">
        <is>
          <t>LBRO2M</t>
        </is>
      </c>
      <c r="C172" s="32" t="inlineStr">
        <is>
          <t>LBRO2M Cooling Bed Sheet 100% Viscose Derived from Bamboo Sheet Set Queen Size 6</t>
        </is>
      </c>
      <c r="D172" s="86" t="inlineStr">
        <is>
          <t>Poor</t>
        </is>
      </c>
      <c r="E172" s="87" t="inlineStr">
        <is>
          <t>B0F9FK3L6J</t>
        </is>
      </c>
      <c r="F172" s="87" t="inlineStr">
        <is>
          <t>B0F9FK7SMW</t>
        </is>
      </c>
      <c r="G172" s="86" t="inlineStr">
        <is>
          <t>King 6 Pcs</t>
        </is>
      </c>
      <c r="H172" s="86" t="inlineStr">
        <is>
          <t>White</t>
        </is>
      </c>
      <c r="I172" s="88" t="n"/>
      <c r="J172" s="32" t="inlineStr"/>
      <c r="K172" s="89" t="n">
        <v>94.98999999999999</v>
      </c>
      <c r="L172" s="89" t="n"/>
      <c r="M172" s="90">
        <f>IF(AND(ISNUMBER(L172),ISNUMBER(K172),N(K172)&gt;0),L172/K172-1,"")</f>
        <v/>
      </c>
      <c r="N172" s="91">
        <f>IF(M172="","No List Price",IF(M172&lt;=0,"At/below price",IF(M172&lt;=0.12,"&lt;=12% STR zone",IF(M172&lt;=0.25,"12-25%","&gt;25% over"))))</f>
        <v/>
      </c>
      <c r="O172" s="89" t="n">
        <v>89.52942359978253</v>
      </c>
      <c r="P172" s="92">
        <f>IF(AND(ISNUMBER(K172),ISNUMBER(O172),N(O172)&gt;0),K172/O172-1,"")</f>
        <v/>
      </c>
      <c r="Q172" s="32" t="inlineStr">
        <is>
          <t>vs our blended price (Command Center, Mar 2026 - STALE)</t>
        </is>
      </c>
      <c r="R172" s="88" t="n">
        <v>1003118</v>
      </c>
      <c r="S172" s="88" t="n">
        <v>5</v>
      </c>
      <c r="T172" s="93">
        <f>IF(AND(ISNUMBER(K172),ISNUMBER(S172)),K172*S172*52/12,"")</f>
        <v/>
      </c>
      <c r="U172" s="94" t="n">
        <v>4.4</v>
      </c>
      <c r="V172" s="88" t="n">
        <v>18</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23:36:36</t>
        </is>
      </c>
      <c r="AY172" s="100" t="inlineStr">
        <is>
          <t>Prime Exclusive Discount</t>
        </is>
      </c>
      <c r="AZ172" s="100" t="inlineStr">
        <is>
          <t>11-22 to 12-01</t>
        </is>
      </c>
      <c r="BA172" s="101" t="n">
        <v>95.98999999999999</v>
      </c>
      <c r="BB172" s="101" t="n">
        <v>67.19</v>
      </c>
      <c r="BC172" s="90">
        <f>IF(AND(ISNUMBER(BA172),ISNUMBER(BB172),N(BA172)&gt;0),1-BB172/BA172,"")</f>
        <v/>
      </c>
      <c r="BD172" s="102" t="n">
        <v>114176</v>
      </c>
      <c r="BE172" s="102" t="n">
        <v>68746</v>
      </c>
      <c r="BF172" s="103">
        <f>IF(AND(ISNUMBER(BD172),ISNUMBER(BE172),N(BE172)&gt;0),BD172/BE172,"")</f>
        <v/>
      </c>
      <c r="BG172" s="100" t="inlineStr">
        <is>
          <t>N</t>
        </is>
      </c>
      <c r="BH172" s="100" t="inlineStr">
        <is>
          <t>Lightning Deal 11-01 to 11-01; List Price $179.97</t>
        </is>
      </c>
    </row>
    <row r="173" ht="62" customHeight="1">
      <c r="A173" s="10">
        <f>_xlfn.IMAGE("https://images-na.ssl-images-amazon.com/images/I/71YlZk0Q9-L.jpg")</f>
        <v/>
      </c>
      <c r="B173" s="86" t="inlineStr">
        <is>
          <t>TWK</t>
        </is>
      </c>
      <c r="C173" s="32" t="inlineStr">
        <is>
          <t>TWK Luxury Sheet Set, Genuine 100% Viscose Derived from Bamboo, Cooling &amp; Breathable, Silky Soft, Bedding Sheets &amp; Pillowcases (White, King(78 * 80 * 15))</t>
        </is>
      </c>
      <c r="D173" s="86" t="inlineStr">
        <is>
          <t>Poor</t>
        </is>
      </c>
      <c r="E173" s="87" t="inlineStr">
        <is>
          <t>B0GVP3B7LS</t>
        </is>
      </c>
      <c r="F173" s="87" t="inlineStr">
        <is>
          <t>B0GVP3B7LS</t>
        </is>
      </c>
      <c r="G173" s="86" t="inlineStr">
        <is>
          <t>King</t>
        </is>
      </c>
      <c r="H173" s="86" t="inlineStr">
        <is>
          <t>White</t>
        </is>
      </c>
      <c r="I173" s="88" t="n">
        <v>1</v>
      </c>
      <c r="J173" s="32" t="inlineStr"/>
      <c r="K173" s="89" t="n">
        <v>46.74</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15 children</t>
        </is>
      </c>
      <c r="R173" s="88" t="n">
        <v>2065761</v>
      </c>
      <c r="S173" s="88" t="n">
        <v>5</v>
      </c>
      <c r="T173" s="93">
        <f>IF(AND(ISNUMBER(K173),ISNUMBER(S173)),K173*S173*52/12,"")</f>
        <v/>
      </c>
      <c r="U173" s="94" t="n">
        <v>4.5</v>
      </c>
      <c r="V173" s="88" t="n">
        <v>11</v>
      </c>
      <c r="W173" s="95" t="n">
        <v>46307</v>
      </c>
      <c r="X173" s="95" t="n">
        <v>46078</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23:36:57</t>
        </is>
      </c>
      <c r="AY173" s="100" t="inlineStr">
        <is>
          <t>Not live in 2025</t>
        </is>
      </c>
      <c r="AZ173" s="105" t="n"/>
      <c r="BA173" s="104" t="n"/>
      <c r="BB173" s="104" t="n"/>
      <c r="BC173" s="90">
        <f>IF(AND(ISNUMBER(BA173),ISNUMBER(BB173),N(BA173)&gt;0),1-BB173/BA173,"")</f>
        <v/>
      </c>
      <c r="BD173" s="106" t="n"/>
      <c r="BE173" s="106" t="n"/>
      <c r="BF173" s="103">
        <f>IF(AND(ISNUMBER(BD173),ISNUMBER(BE173),N(BE173)&gt;0),BD173/BE173,"")</f>
        <v/>
      </c>
      <c r="BG173" s="105" t="n"/>
      <c r="BH173" s="105" t="n"/>
    </row>
    <row r="174" ht="62" customHeight="1">
      <c r="A174" s="10">
        <f>_xlfn.IMAGE("https://m.media-amazon.com/images/I/61cLtklNnOL._AC_SL1486_.jpg")</f>
        <v/>
      </c>
      <c r="B174" s="86" t="inlineStr">
        <is>
          <t>TWK</t>
        </is>
      </c>
      <c r="C174" s="32" t="inlineStr">
        <is>
          <t>4 Piece Bamboo Sheet Set</t>
        </is>
      </c>
      <c r="D174" s="86" t="inlineStr">
        <is>
          <t>Poor</t>
        </is>
      </c>
      <c r="E174" s="87" t="inlineStr">
        <is>
          <t>B0GW7H7RHY</t>
        </is>
      </c>
      <c r="F174" s="87" t="inlineStr">
        <is>
          <t>B0GW7H7RHY</t>
        </is>
      </c>
      <c r="G174" s="86" t="inlineStr">
        <is>
          <t>King</t>
        </is>
      </c>
      <c r="H174" s="86" t="inlineStr">
        <is>
          <t>Sand</t>
        </is>
      </c>
      <c r="I174" s="88" t="n"/>
      <c r="J174" s="32" t="inlineStr"/>
      <c r="K174" s="89" t="n">
        <v>109.99</v>
      </c>
      <c r="L174" s="89" t="n"/>
      <c r="M174" s="90">
        <f>IF(AND(ISNUMBER(L174),ISNUMBER(K174),N(K174)&gt;0),L174/K174-1,"")</f>
        <v/>
      </c>
      <c r="N174" s="91">
        <f>IF(M174="","No List Price",IF(M174&lt;=0,"At/below price",IF(M174&lt;=0.12,"&lt;=12% STR zone",IF(M174&lt;=0.25,"12-25%","&gt;25% over"))))</f>
        <v/>
      </c>
      <c r="O174" s="89" t="n">
        <v>99.98999999999999</v>
      </c>
      <c r="P174" s="92">
        <f>IF(AND(ISNUMBER(K174),ISNUMBER(O174),N(O174)&gt;0),K174/O174-1,"")</f>
        <v/>
      </c>
      <c r="Q174" s="32" t="inlineStr">
        <is>
          <t>Same size (King). Ours live: Helium 10 Xray, 2026-10-13; 15 children</t>
        </is>
      </c>
      <c r="R174" s="88" t="n">
        <v>4355899</v>
      </c>
      <c r="S174" s="88" t="n">
        <v>5</v>
      </c>
      <c r="T174" s="93">
        <f>IF(AND(ISNUMBER(K174),ISNUMBER(S174)),K174*S174*52/12,"")</f>
        <v/>
      </c>
      <c r="U174" s="94" t="n">
        <v>4.5</v>
      </c>
      <c r="V174" s="88" t="n">
        <v>2</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104" t="n"/>
      <c r="AV174" s="98" t="inlineStr">
        <is>
          <t>none</t>
        </is>
      </c>
      <c r="AW174" s="98" t="inlineStr">
        <is>
          <t>N</t>
        </is>
      </c>
      <c r="AX174" s="98" t="inlineStr">
        <is>
          <t>2026-10-13 23:37:03</t>
        </is>
      </c>
      <c r="AY174" s="100" t="inlineStr">
        <is>
          <t>Not live in 2025</t>
        </is>
      </c>
      <c r="AZ174" s="105" t="n"/>
      <c r="BA174" s="104" t="n"/>
      <c r="BB174" s="104" t="n"/>
      <c r="BC174" s="90">
        <f>IF(AND(ISNUMBER(BA174),ISNUMBER(BB174),N(BA174)&gt;0),1-BB174/BA174,"")</f>
        <v/>
      </c>
      <c r="BD174" s="106" t="n"/>
      <c r="BE174" s="106" t="n"/>
      <c r="BF174" s="103">
        <f>IF(AND(ISNUMBER(BD174),ISNUMBER(BE174),N(BE174)&gt;0),BD174/BE174,"")</f>
        <v/>
      </c>
      <c r="BG174" s="105" t="n"/>
      <c r="BH174" s="105" t="n"/>
    </row>
    <row r="175" ht="62" customHeight="1">
      <c r="A175" s="10">
        <f>_xlfn.IMAGE("https://images-na.ssl-images-amazon.com/images/I/71gw0WpuNuL.jpg")</f>
        <v/>
      </c>
      <c r="B175" s="86" t="inlineStr">
        <is>
          <t>TWK</t>
        </is>
      </c>
      <c r="C175" s="32" t="inlineStr">
        <is>
          <t>TWK Luxury Sheet Set, Genuine 100% Organic Viscose Derived from Bamboo, Cooling &amp; Breathable, Silky Soft, Bedding Sheets &amp; Pillowcases (Mist Gray, King)</t>
        </is>
      </c>
      <c r="D175" s="86" t="inlineStr">
        <is>
          <t>Poor</t>
        </is>
      </c>
      <c r="E175" s="87" t="inlineStr">
        <is>
          <t>B0DYT2QWLC</t>
        </is>
      </c>
      <c r="F175" s="87" t="inlineStr">
        <is>
          <t>B0DYT2QWLC</t>
        </is>
      </c>
      <c r="G175" s="86" t="inlineStr">
        <is>
          <t>King</t>
        </is>
      </c>
      <c r="H175" s="86" t="inlineStr">
        <is>
          <t>Mist Gray</t>
        </is>
      </c>
      <c r="I175" s="88" t="n">
        <v>1</v>
      </c>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15 children</t>
        </is>
      </c>
      <c r="R175" s="88" t="n">
        <v>1506045</v>
      </c>
      <c r="S175" s="88" t="n">
        <v>5</v>
      </c>
      <c r="T175" s="93">
        <f>IF(AND(ISNUMBER(K175),ISNUMBER(S175)),K175*S175*52/12,"")</f>
        <v/>
      </c>
      <c r="U175" s="94" t="n">
        <v>4.5</v>
      </c>
      <c r="V175" s="88" t="n">
        <v>39</v>
      </c>
      <c r="W175" s="95" t="n">
        <v>46307</v>
      </c>
      <c r="X175" s="95" t="n">
        <v>45716</v>
      </c>
      <c r="Y175" s="86" t="inlineStr">
        <is>
          <t>FBM</t>
        </is>
      </c>
      <c r="Z175" s="86" t="inlineStr">
        <is>
          <t>N/A</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104" t="n"/>
      <c r="AV175" s="98" t="inlineStr">
        <is>
          <t>none</t>
        </is>
      </c>
      <c r="AW175" s="98" t="inlineStr">
        <is>
          <t>N</t>
        </is>
      </c>
      <c r="AX175" s="98" t="inlineStr">
        <is>
          <t>2026-10-13 23:37:00</t>
        </is>
      </c>
      <c r="AY175" s="100" t="inlineStr">
        <is>
          <t>Coupon only</t>
        </is>
      </c>
      <c r="AZ175" s="100" t="inlineStr">
        <is>
          <t>11-20 to 12-05</t>
        </is>
      </c>
      <c r="BA175" s="101" t="n">
        <v>69</v>
      </c>
      <c r="BB175" s="101" t="n">
        <v>74</v>
      </c>
      <c r="BC175" s="90">
        <f>IF(AND(ISNUMBER(BA175),ISNUMBER(BB175),N(BA175)&gt;0),1-BB175/BA175,"")</f>
        <v/>
      </c>
      <c r="BD175" s="102" t="n">
        <v>46533</v>
      </c>
      <c r="BE175" s="102" t="n">
        <v>67944</v>
      </c>
      <c r="BF175" s="103">
        <f>IF(AND(ISNUMBER(BD175),ISNUMBER(BE175),N(BE175)&gt;0),BD175/BE175,"")</f>
        <v/>
      </c>
      <c r="BG175" s="100" t="inlineStr">
        <is>
          <t>N</t>
        </is>
      </c>
      <c r="BH175" s="100" t="inlineStr">
        <is>
          <t>Coupon 30%; Buy Box RAISED in BFCM week (median $79.00 vs $69.00 before); List Price $69.00</t>
        </is>
      </c>
    </row>
    <row r="176" ht="62" customHeight="1">
      <c r="A176" s="10">
        <f>_xlfn.IMAGE("https://m.media-amazon.com/images/I/619JGLN3FDL._AC_SL1080_.jpg")</f>
        <v/>
      </c>
      <c r="B176" s="86" t="inlineStr">
        <is>
          <t>Vesta</t>
        </is>
      </c>
      <c r="C176" s="32" t="inlineStr">
        <is>
          <t>Vesta Sheet Set – Soft, Breathable &amp; Cooling, 100% Viscose Derived from Bamboo,</t>
        </is>
      </c>
      <c r="D176" s="86" t="inlineStr">
        <is>
          <t>Poor</t>
        </is>
      </c>
      <c r="E176" s="87" t="inlineStr">
        <is>
          <t>B0CZRJY68B</t>
        </is>
      </c>
      <c r="F176" s="87" t="inlineStr">
        <is>
          <t>B0DM214YG3</t>
        </is>
      </c>
      <c r="G176" s="86" t="inlineStr">
        <is>
          <t>King/Cali King</t>
        </is>
      </c>
      <c r="H176" s="86" t="inlineStr">
        <is>
          <t>Terra Cotta</t>
        </is>
      </c>
      <c r="I176" s="88" t="n"/>
      <c r="J176" s="32" t="inlineStr"/>
      <c r="K176" s="89" t="n">
        <v>174.3</v>
      </c>
      <c r="L176" s="89" t="n"/>
      <c r="M176" s="90">
        <f>IF(AND(ISNUMBER(L176),ISNUMBER(K176),N(K176)&gt;0),L176/K176-1,"")</f>
        <v/>
      </c>
      <c r="N176" s="91">
        <f>IF(M176="","No List Price",IF(M176&lt;=0,"At/below price",IF(M176&lt;=0.12,"&lt;=12% STR zone",IF(M176&lt;=0.25,"12-25%","&gt;25% over"))))</f>
        <v/>
      </c>
      <c r="O176" s="89" t="n">
        <v>89.52942359978253</v>
      </c>
      <c r="P176" s="92">
        <f>IF(AND(ISNUMBER(K176),ISNUMBER(O176),N(O176)&gt;0),K176/O176-1,"")</f>
        <v/>
      </c>
      <c r="Q176" s="32" t="inlineStr">
        <is>
          <t>vs our blended price (Command Center, Mar 2026 - STALE)</t>
        </is>
      </c>
      <c r="R176" s="88" t="n">
        <v>591414</v>
      </c>
      <c r="S176" s="88" t="n">
        <v>5</v>
      </c>
      <c r="T176" s="93">
        <f>IF(AND(ISNUMBER(K176),ISNUMBER(S176)),K176*S176*52/12,"")</f>
        <v/>
      </c>
      <c r="U176" s="94" t="n">
        <v>4.3</v>
      </c>
      <c r="V176" s="88" t="n">
        <v>35</v>
      </c>
      <c r="W176" s="95" t="n">
        <v>46307</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174.3</v>
      </c>
      <c r="AV176" s="98" t="inlineStr">
        <is>
          <t>none</t>
        </is>
      </c>
      <c r="AW176" s="98" t="inlineStr">
        <is>
          <t>Y</t>
        </is>
      </c>
      <c r="AX176" s="98" t="inlineStr">
        <is>
          <t>2026-10-13 23:37:06</t>
        </is>
      </c>
      <c r="AY176" s="100" t="inlineStr">
        <is>
          <t>None</t>
        </is>
      </c>
      <c r="AZ176" s="105" t="n"/>
      <c r="BA176" s="101" t="n">
        <v>174.3</v>
      </c>
      <c r="BB176" s="101" t="n">
        <v>174.3</v>
      </c>
      <c r="BC176" s="90">
        <f>IF(AND(ISNUMBER(BA176),ISNUMBER(BB176),N(BA176)&gt;0),1-BB176/BA176,"")</f>
        <v/>
      </c>
      <c r="BD176" s="102" t="n">
        <v>1047082</v>
      </c>
      <c r="BE176" s="102" t="n">
        <v>909398</v>
      </c>
      <c r="BF176" s="103">
        <f>IF(AND(ISNUMBER(BD176),ISNUMBER(BE176),N(BE176)&gt;0),BD176/BE176,"")</f>
        <v/>
      </c>
      <c r="BG176" s="100" t="inlineStr">
        <is>
          <t>N</t>
        </is>
      </c>
      <c r="BH176" s="100" t="inlineStr">
        <is>
          <t>List Price $174.30</t>
        </is>
      </c>
    </row>
    <row r="177" ht="62" customHeight="1">
      <c r="A177" s="38" t="inlineStr">
        <is>
          <t>COMING SOON</t>
        </is>
      </c>
      <c r="B177" s="86" t="inlineStr">
        <is>
          <t>TWK</t>
        </is>
      </c>
      <c r="C177" s="32" t="inlineStr">
        <is>
          <t>TWK Genuine 100% Viscose Derived from Natural Bamboo Bed Sheets Set,Cooling &amp; Silky Soft Bed Sheets,Deep Pocket Up to 18",with a Laundry Bag (White, King)</t>
        </is>
      </c>
      <c r="D177" s="86" t="inlineStr">
        <is>
          <t>Poor</t>
        </is>
      </c>
      <c r="E177" s="86" t="n"/>
      <c r="F177" s="87" t="inlineStr">
        <is>
          <t>B0G1N59S1Q</t>
        </is>
      </c>
      <c r="G177" s="86" t="inlineStr">
        <is>
          <t>King</t>
        </is>
      </c>
      <c r="H177" s="86" t="inlineStr">
        <is>
          <t>White</t>
        </is>
      </c>
      <c r="I177" s="88" t="n"/>
      <c r="J177" s="32" t="inlineStr"/>
      <c r="K177" s="89" t="n">
        <v>109.99</v>
      </c>
      <c r="L177" s="89" t="n"/>
      <c r="M177" s="90">
        <f>IF(AND(ISNUMBER(L177),ISNUMBER(K177),N(K177)&gt;0),L177/K177-1,"")</f>
        <v/>
      </c>
      <c r="N177" s="91">
        <f>IF(M177="","No List Price",IF(M177&lt;=0,"At/below price",IF(M177&lt;=0.12,"&lt;=12% STR zone",IF(M177&lt;=0.25,"12-25%","&gt;25% over"))))</f>
        <v/>
      </c>
      <c r="O177" s="89" t="n">
        <v>99.98999999999999</v>
      </c>
      <c r="P177" s="92">
        <f>IF(AND(ISNUMBER(K177),ISNUMBER(O177),N(O177)&gt;0),K177/O177-1,"")</f>
        <v/>
      </c>
      <c r="Q177" s="32" t="inlineStr">
        <is>
          <t>Same size (King). Ours live: Helium 10 Xray, 2026-10-13; 15 children</t>
        </is>
      </c>
      <c r="R177" s="88" t="n"/>
      <c r="S177" s="88" t="n"/>
      <c r="T177" s="93">
        <f>IF(AND(ISNUMBER(K177),ISNUMBER(S177)),K177*S177*52/12,"")</f>
        <v/>
      </c>
      <c r="U177" s="94" t="n">
        <v>4.5</v>
      </c>
      <c r="V177" s="88" t="n">
        <v>6</v>
      </c>
      <c r="W177" s="95" t="n">
        <v>46306</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105" t="n"/>
      <c r="AS177" s="105" t="n"/>
      <c r="AT177" s="104" t="n"/>
      <c r="AU177" s="104" t="n"/>
      <c r="AV177" s="105" t="n"/>
      <c r="AW177" s="105" t="n"/>
      <c r="AX177" s="105" t="n"/>
      <c r="AY177" s="100" t="inlineStr">
        <is>
          <t>Coupon only</t>
        </is>
      </c>
      <c r="AZ177" s="100" t="inlineStr">
        <is>
          <t>11-22 to 12-05</t>
        </is>
      </c>
      <c r="BA177" s="104" t="n"/>
      <c r="BB177" s="101" t="n">
        <v>101</v>
      </c>
      <c r="BC177" s="90">
        <f>IF(AND(ISNUMBER(BA177),ISNUMBER(BB177),N(BA177)&gt;0),1-BB177/BA177,"")</f>
        <v/>
      </c>
      <c r="BD177" s="106" t="n"/>
      <c r="BE177" s="102" t="n">
        <v>477682</v>
      </c>
      <c r="BF177" s="103">
        <f>IF(AND(ISNUMBER(BD177),ISNUMBER(BE177),N(BE177)&gt;0),BD177/BE177,"")</f>
        <v/>
      </c>
      <c r="BG177" s="105" t="n"/>
      <c r="BH177" s="100" t="inlineStr">
        <is>
          <t>Coupon 50%; List Price $109.00</t>
        </is>
      </c>
    </row>
    <row r="178" ht="62" customHeight="1">
      <c r="A178" s="10">
        <f>_xlfn.IMAGE("https://images-na.ssl-images-amazon.com/images/I/716Vqhk8VxL.jpg")</f>
        <v/>
      </c>
      <c r="B178" s="86" t="inlineStr">
        <is>
          <t>CozyLux</t>
        </is>
      </c>
      <c r="C178" s="32" t="inlineStr">
        <is>
          <t>CozyLux King Size Sheets Set, 100% Rayon Derived from Bamboo, Sateen Weave</t>
        </is>
      </c>
      <c r="D178" s="86" t="inlineStr">
        <is>
          <t>Untiered</t>
        </is>
      </c>
      <c r="E178" s="87" t="inlineStr">
        <is>
          <t>B0GC2GQNMT</t>
        </is>
      </c>
      <c r="F178" s="87" t="inlineStr">
        <is>
          <t>B0GC5CJGWC</t>
        </is>
      </c>
      <c r="G178" s="86" t="inlineStr">
        <is>
          <t>King</t>
        </is>
      </c>
      <c r="H178" s="86" t="inlineStr">
        <is>
          <t>Ivory</t>
        </is>
      </c>
      <c r="I178" s="88" t="n">
        <v>18</v>
      </c>
      <c r="J178" s="32" t="inlineStr"/>
      <c r="K178" s="89" t="n">
        <v>35.99</v>
      </c>
      <c r="L178" s="89" t="n"/>
      <c r="M178" s="90">
        <f>IF(AND(ISNUMBER(L178),ISNUMBER(K178),N(K178)&gt;0),L178/K178-1,"")</f>
        <v/>
      </c>
      <c r="N178" s="91">
        <f>IF(M178="","No List Price",IF(M178&lt;=0,"At/below price",IF(M178&lt;=0.12,"&lt;=12% STR zone",IF(M178&lt;=0.25,"12-25%","&gt;25% over"))))</f>
        <v/>
      </c>
      <c r="O178" s="89" t="n">
        <v>99.98999999999999</v>
      </c>
      <c r="P178" s="92">
        <f>IF(AND(ISNUMBER(K178),ISNUMBER(O178),N(O178)&gt;0),K178/O178-1,"")</f>
        <v/>
      </c>
      <c r="Q178" s="32" t="inlineStr">
        <is>
          <t>Same size (King). Ours live: Helium 10 Xray, 2026-10-13; 15 children</t>
        </is>
      </c>
      <c r="R178" s="88" t="n">
        <v>33018</v>
      </c>
      <c r="S178" s="88" t="n">
        <v>185</v>
      </c>
      <c r="T178" s="93">
        <f>IF(AND(ISNUMBER(K178),ISNUMBER(S178)),K178*S178*52/12,"")</f>
        <v/>
      </c>
      <c r="U178" s="94" t="n">
        <v>4.6</v>
      </c>
      <c r="V178" s="88" t="n">
        <v>93</v>
      </c>
      <c r="W178" s="95" t="n">
        <v>46307</v>
      </c>
      <c r="X178" s="95" t="n">
        <v>46014</v>
      </c>
      <c r="Y178" s="86" t="inlineStr">
        <is>
          <t>FBA</t>
        </is>
      </c>
      <c r="Z178" s="86" t="inlineStr">
        <is>
          <t>CN</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Y</t>
        </is>
      </c>
      <c r="AS178" s="98" t="inlineStr">
        <is>
          <t>List Price</t>
        </is>
      </c>
      <c r="AT178" s="99" t="n">
        <v>44.99</v>
      </c>
      <c r="AU178" s="99" t="n">
        <v>35.99</v>
      </c>
      <c r="AV178" s="98" t="inlineStr">
        <is>
          <t>none</t>
        </is>
      </c>
      <c r="AW178" s="98" t="inlineStr">
        <is>
          <t>Y</t>
        </is>
      </c>
      <c r="AX178" s="98" t="inlineStr">
        <is>
          <t>2026-10-13 23:36:09</t>
        </is>
      </c>
      <c r="AY178" s="100" t="inlineStr">
        <is>
          <t>Not live in 2025</t>
        </is>
      </c>
      <c r="AZ178" s="105" t="n"/>
      <c r="BA178" s="104" t="n"/>
      <c r="BB178" s="104" t="n"/>
      <c r="BC178" s="90">
        <f>IF(AND(ISNUMBER(BA178),ISNUMBER(BB178),N(BA178)&gt;0),1-BB178/BA178,"")</f>
        <v/>
      </c>
      <c r="BD178" s="106" t="n"/>
      <c r="BE178" s="106" t="n"/>
      <c r="BF178" s="103">
        <f>IF(AND(ISNUMBER(BD178),ISNUMBER(BE178),N(BE178)&gt;0),BD178/BE178,"")</f>
        <v/>
      </c>
      <c r="BG178" s="105" t="n"/>
      <c r="BH178" s="105" t="n"/>
    </row>
    <row r="179" ht="62" customHeight="1">
      <c r="A179" s="10">
        <f>_xlfn.IMAGE("https://images-na.ssl-images-amazon.com/images/I/81fpVjndH2L.jpg")</f>
        <v/>
      </c>
      <c r="B179" s="86" t="inlineStr">
        <is>
          <t>Shilucheng</t>
        </is>
      </c>
      <c r="C179" s="32" t="inlineStr">
        <is>
          <t>Shilucheng 4 Piece Queen Sheet Sets, Cooling Sheets, Dark Grey</t>
        </is>
      </c>
      <c r="D179" s="86" t="inlineStr">
        <is>
          <t>Untiered</t>
        </is>
      </c>
      <c r="E179" s="87" t="inlineStr">
        <is>
          <t>B0HJSVWNRS</t>
        </is>
      </c>
      <c r="F179" s="87" t="inlineStr">
        <is>
          <t>B0FWY1TGFK</t>
        </is>
      </c>
      <c r="G179" s="86" t="inlineStr">
        <is>
          <t>Queen</t>
        </is>
      </c>
      <c r="H179" s="86" t="inlineStr">
        <is>
          <t>Grey</t>
        </is>
      </c>
      <c r="I179" s="88" t="n">
        <v>49</v>
      </c>
      <c r="J179" s="32" t="inlineStr">
        <is>
          <t>B0FWY1TGFK (67%), B098JT1RF2 (22%)</t>
        </is>
      </c>
      <c r="K179" s="89" t="n">
        <v>34.99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5396</v>
      </c>
      <c r="S179" s="88" t="n">
        <v>173</v>
      </c>
      <c r="T179" s="93">
        <f>IF(AND(ISNUMBER(K179),ISNUMBER(S179)),K179*S179*52/12,"")</f>
        <v/>
      </c>
      <c r="U179" s="94" t="n">
        <v>4.3</v>
      </c>
      <c r="V179" s="88" t="n">
        <v>24352</v>
      </c>
      <c r="W179" s="95" t="n">
        <v>46307</v>
      </c>
      <c r="X179" s="95" t="n"/>
      <c r="Y179" s="86" t="n"/>
      <c r="Z179" s="86" t="n"/>
      <c r="AA179" s="88" t="n">
        <v>135323</v>
      </c>
      <c r="AB179" s="88" t="n">
        <v>1187</v>
      </c>
      <c r="AC179" s="96" t="n">
        <v>0.7652350080917514</v>
      </c>
      <c r="AD179" s="96" t="n">
        <v>0.234765015555375</v>
      </c>
      <c r="AE179" s="32" t="inlineStr">
        <is>
          <t>bamboo sheets</t>
        </is>
      </c>
      <c r="AF179" s="96" t="n">
        <v>0.4715236877692632</v>
      </c>
      <c r="AG179" s="96" t="n"/>
      <c r="AH179" s="96" t="n"/>
      <c r="AI179" s="96" t="n">
        <v>0.03684517783377549</v>
      </c>
      <c r="AJ179" s="88" t="n">
        <v>770</v>
      </c>
      <c r="AK179" s="88" t="n">
        <v>321</v>
      </c>
      <c r="AL179" s="88" t="n">
        <v>415</v>
      </c>
      <c r="AM179" s="88" t="n">
        <v>417</v>
      </c>
      <c r="AN179" s="88" t="n">
        <v>346</v>
      </c>
      <c r="AO179" s="88" t="n">
        <v>43</v>
      </c>
      <c r="AP179" s="97" t="n"/>
      <c r="AQ179" s="92" t="n">
        <v>-0.9497907949790795</v>
      </c>
      <c r="AR179" s="98" t="inlineStr">
        <is>
          <t>N</t>
        </is>
      </c>
      <c r="AS179" s="98" t="inlineStr">
        <is>
          <t>none</t>
        </is>
      </c>
      <c r="AT179" s="104" t="n"/>
      <c r="AU179" s="99" t="n">
        <v>34.99</v>
      </c>
      <c r="AV179" s="98" t="inlineStr">
        <is>
          <t>coupon 15%</t>
        </is>
      </c>
      <c r="AW179" s="98" t="inlineStr">
        <is>
          <t>Y</t>
        </is>
      </c>
      <c r="AX179" s="98" t="inlineStr">
        <is>
          <t>2026-10-13 12:11:26</t>
        </is>
      </c>
      <c r="AY179" s="100" t="inlineStr">
        <is>
          <t>Coupon only</t>
        </is>
      </c>
      <c r="AZ179" s="100" t="inlineStr">
        <is>
          <t>11-09 to 11-21</t>
        </is>
      </c>
      <c r="BA179" s="101" t="n">
        <v>34.9</v>
      </c>
      <c r="BB179" s="101" t="n">
        <v>28.18</v>
      </c>
      <c r="BC179" s="90">
        <f>IF(AND(ISNUMBER(BA179),ISNUMBER(BB179),N(BA179)&gt;0),1-BB179/BA179,"")</f>
        <v/>
      </c>
      <c r="BD179" s="102" t="n">
        <v>4671</v>
      </c>
      <c r="BE179" s="102" t="n">
        <v>3278</v>
      </c>
      <c r="BF179" s="103">
        <f>IF(AND(ISNUMBER(BD179),ISNUMBER(BE179),N(BE179)&gt;0),BD179/BE179,"")</f>
        <v/>
      </c>
      <c r="BG179" s="100" t="inlineStr">
        <is>
          <t>N</t>
        </is>
      </c>
      <c r="BH179" s="100" t="inlineStr">
        <is>
          <t>Coupon 15%; List Price $34.90</t>
        </is>
      </c>
    </row>
    <row r="180" ht="62" customHeight="1">
      <c r="A180" s="10">
        <f>_xlfn.IMAGE("https://images-na.ssl-images-amazon.com/images/I/61WgRn96SbL.jpg")</f>
        <v/>
      </c>
      <c r="B180" s="86" t="inlineStr">
        <is>
          <t>CGK Unlimited</t>
        </is>
      </c>
      <c r="C180" s="32" t="inlineStr">
        <is>
          <t>100% Rayon Derived from Bamboo - Bamboo Sheets Queen Size - Black</t>
        </is>
      </c>
      <c r="D180" s="86" t="inlineStr">
        <is>
          <t>Untiered</t>
        </is>
      </c>
      <c r="E180" s="87" t="inlineStr">
        <is>
          <t>B0F2GR2DKR</t>
        </is>
      </c>
      <c r="F180" s="87" t="inlineStr">
        <is>
          <t>B0D429MCF7</t>
        </is>
      </c>
      <c r="G180" s="86" t="inlineStr">
        <is>
          <t>Queen</t>
        </is>
      </c>
      <c r="H180" s="86" t="inlineStr">
        <is>
          <t>Black</t>
        </is>
      </c>
      <c r="I180" s="88" t="n">
        <v>58</v>
      </c>
      <c r="J180" s="32" t="inlineStr"/>
      <c r="K180" s="89" t="n">
        <v>49.99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2554</v>
      </c>
      <c r="S180" s="88" t="n">
        <v>173</v>
      </c>
      <c r="T180" s="93">
        <f>IF(AND(ISNUMBER(K180),ISNUMBER(S180)),K180*S180*52/12,"")</f>
        <v/>
      </c>
      <c r="U180" s="94" t="n">
        <v>4.4</v>
      </c>
      <c r="V180" s="88" t="n">
        <v>1169</v>
      </c>
      <c r="W180" s="95" t="n">
        <v>46307</v>
      </c>
      <c r="X180" s="95" t="n">
        <v>45575</v>
      </c>
      <c r="Y180" s="86" t="inlineStr">
        <is>
          <t>FBA</t>
        </is>
      </c>
      <c r="Z180" s="86" t="inlineStr">
        <is>
          <t>US</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49.99</v>
      </c>
      <c r="AV180" s="98" t="inlineStr">
        <is>
          <t>none</t>
        </is>
      </c>
      <c r="AW180" s="98" t="inlineStr">
        <is>
          <t>Y</t>
        </is>
      </c>
      <c r="AX180" s="98" t="inlineStr">
        <is>
          <t>2026-10-13 23:35:53</t>
        </is>
      </c>
      <c r="AY180" s="100" t="inlineStr">
        <is>
          <t>Price cut only</t>
        </is>
      </c>
      <c r="AZ180" s="100" t="inlineStr">
        <is>
          <t>11-20 to 12-01</t>
        </is>
      </c>
      <c r="BA180" s="101" t="n">
        <v>39.99</v>
      </c>
      <c r="BB180" s="101" t="n">
        <v>29.74</v>
      </c>
      <c r="BC180" s="90">
        <f>IF(AND(ISNUMBER(BA180),ISNUMBER(BB180),N(BA180)&gt;0),1-BB180/BA180,"")</f>
        <v/>
      </c>
      <c r="BD180" s="102" t="n">
        <v>16161</v>
      </c>
      <c r="BE180" s="102" t="n">
        <v>12770</v>
      </c>
      <c r="BF180" s="103">
        <f>IF(AND(ISNUMBER(BD180),ISNUMBER(BE180),N(BE180)&gt;0),BD180/BE180,"")</f>
        <v/>
      </c>
      <c r="BG180" s="100" t="inlineStr">
        <is>
          <t>N</t>
        </is>
      </c>
      <c r="BH180" s="100" t="inlineStr">
        <is>
          <t>List Price $64.99</t>
        </is>
      </c>
    </row>
    <row r="181" ht="62" customHeight="1">
      <c r="A181" s="10">
        <f>_xlfn.IMAGE("https://m.media-amazon.com/images/I/71GPOg6dRqL._AC_SL1500_.jpg")</f>
        <v/>
      </c>
      <c r="B181" s="86" t="inlineStr">
        <is>
          <t>Amazon Basics</t>
        </is>
      </c>
      <c r="C181" s="32" t="inlineStr">
        <is>
          <t>Amazon Basics Bamboo Viscose Sheet Set, 4-Piece, Queen, White</t>
        </is>
      </c>
      <c r="D181" s="86" t="inlineStr">
        <is>
          <t>Untiered</t>
        </is>
      </c>
      <c r="E181" s="87" t="inlineStr">
        <is>
          <t>B0GFHP5V9H</t>
        </is>
      </c>
      <c r="F181" s="87" t="inlineStr">
        <is>
          <t>B0GFHGS4DP</t>
        </is>
      </c>
      <c r="G181" s="86" t="inlineStr">
        <is>
          <t>Queen</t>
        </is>
      </c>
      <c r="H181" s="86" t="inlineStr">
        <is>
          <t>White</t>
        </is>
      </c>
      <c r="I181" s="88" t="n"/>
      <c r="J181" s="32" t="inlineStr"/>
      <c r="K181" s="89" t="n">
        <v>29.99</v>
      </c>
      <c r="L181" s="89" t="n"/>
      <c r="M181" s="90">
        <f>IF(AND(ISNUMBER(L181),ISNUMBER(K181),N(K181)&gt;0),L181/K181-1,"")</f>
        <v/>
      </c>
      <c r="N181" s="91">
        <f>IF(M181="","No List Price",IF(M181&lt;=0,"At/below price",IF(M181&lt;=0.12,"&lt;=12% STR zone",IF(M181&lt;=0.25,"12-25%","&gt;25% over"))))</f>
        <v/>
      </c>
      <c r="O181" s="89" t="n">
        <v>94.98999999999999</v>
      </c>
      <c r="P181" s="92">
        <f>IF(AND(ISNUMBER(K181),ISNUMBER(O181),N(O181)&gt;0),K181/O181-1,"")</f>
        <v/>
      </c>
      <c r="Q181" s="32" t="inlineStr">
        <is>
          <t>Same size (Queen). Ours live: Helium 10 Xray, 2026-10-13; 15 children</t>
        </is>
      </c>
      <c r="R181" s="88" t="n">
        <v>21965</v>
      </c>
      <c r="S181" s="88" t="n">
        <v>173</v>
      </c>
      <c r="T181" s="93">
        <f>IF(AND(ISNUMBER(K181),ISNUMBER(S181)),K181*S181*52/12,"")</f>
        <v/>
      </c>
      <c r="U181" s="94" t="n">
        <v>4</v>
      </c>
      <c r="V181" s="88" t="n">
        <v>36</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29.99</v>
      </c>
      <c r="AV181" s="98" t="inlineStr">
        <is>
          <t>none</t>
        </is>
      </c>
      <c r="AW181" s="98" t="inlineStr">
        <is>
          <t>Y</t>
        </is>
      </c>
      <c r="AX181" s="98" t="inlineStr">
        <is>
          <t>2026-10-13 23:35:34</t>
        </is>
      </c>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_xlfn.IMAGE("https://images-na.ssl-images-amazon.com/images/I/71QdkBMIZ3L.jpg")</f>
        <v/>
      </c>
      <c r="B182" s="86" t="inlineStr">
        <is>
          <t>MR&amp;HM</t>
        </is>
      </c>
      <c r="C182" s="32" t="inlineStr">
        <is>
          <t>MR&amp;HM Queen Sheets 4 Pieces, Rayon Derived from Bamboo Blend, Dark Grey</t>
        </is>
      </c>
      <c r="D182" s="86" t="inlineStr">
        <is>
          <t>Untiered</t>
        </is>
      </c>
      <c r="E182" s="87" t="inlineStr">
        <is>
          <t>B0DQDMN3WK</t>
        </is>
      </c>
      <c r="F182" s="87" t="inlineStr">
        <is>
          <t>B0DL5NCTYF</t>
        </is>
      </c>
      <c r="G182" s="86" t="inlineStr">
        <is>
          <t>Queen</t>
        </is>
      </c>
      <c r="H182" s="86" t="inlineStr">
        <is>
          <t>Grey</t>
        </is>
      </c>
      <c r="I182" s="88" t="n">
        <v>65</v>
      </c>
      <c r="J182" s="32" t="inlineStr"/>
      <c r="K182" s="89" t="n">
        <v>36.99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(Queen). Ours live: Helium 10 Xray, 2026-10-13; 15 children</t>
        </is>
      </c>
      <c r="R182" s="88" t="n">
        <v>30653</v>
      </c>
      <c r="S182" s="88" t="n">
        <v>35</v>
      </c>
      <c r="T182" s="93">
        <f>IF(AND(ISNUMBER(K182),ISNUMBER(S182)),K182*S182*52/12,"")</f>
        <v/>
      </c>
      <c r="U182" s="94" t="n">
        <v>4.4</v>
      </c>
      <c r="V182" s="88" t="n">
        <v>616</v>
      </c>
      <c r="W182" s="95" t="n">
        <v>46307</v>
      </c>
      <c r="X182" s="95" t="n">
        <v>45593</v>
      </c>
      <c r="Y182" s="86" t="inlineStr">
        <is>
          <t>FBA</t>
        </is>
      </c>
      <c r="Z182" s="86" t="inlineStr">
        <is>
          <t>HK</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List Price</t>
        </is>
      </c>
      <c r="AT182" s="99" t="n">
        <v>38.99</v>
      </c>
      <c r="AU182" s="99" t="n">
        <v>36.99</v>
      </c>
      <c r="AV182" s="98" t="inlineStr">
        <is>
          <t>none</t>
        </is>
      </c>
      <c r="AW182" s="98" t="inlineStr">
        <is>
          <t>Y</t>
        </is>
      </c>
      <c r="AX182" s="98" t="inlineStr">
        <is>
          <t>2026-10-13 23:36:40</t>
        </is>
      </c>
      <c r="AY182" s="100" t="inlineStr">
        <is>
          <t>Prime Exclusive Discount</t>
        </is>
      </c>
      <c r="AZ182" s="100" t="inlineStr">
        <is>
          <t>11-03 to 12-01</t>
        </is>
      </c>
      <c r="BA182" s="101" t="n">
        <v>29.99</v>
      </c>
      <c r="BB182" s="101" t="n">
        <v>28.04</v>
      </c>
      <c r="BC182" s="90">
        <f>IF(AND(ISNUMBER(BA182),ISNUMBER(BB182),N(BA182)&gt;0),1-BB182/BA182,"")</f>
        <v/>
      </c>
      <c r="BD182" s="102" t="n">
        <v>32725</v>
      </c>
      <c r="BE182" s="102" t="n">
        <v>36240</v>
      </c>
      <c r="BF182" s="103">
        <f>IF(AND(ISNUMBER(BD182),ISNUMBER(BE182),N(BE182)&gt;0),BD182/BE182,"")</f>
        <v/>
      </c>
      <c r="BG182" s="100" t="inlineStr">
        <is>
          <t>N</t>
        </is>
      </c>
      <c r="BH182" s="100" t="inlineStr">
        <is>
          <t>Prime Exclusive already running before BFCM week; Buy Box RAISED in BFCM week (median $37.99 vs $32.99 before); List Price $45.99</t>
        </is>
      </c>
    </row>
    <row r="183" ht="62" customHeight="1">
      <c r="A183" s="10">
        <f>_xlfn.IMAGE("https://images-na.ssl-images-amazon.com/images/I/61sz2mcvZmL.jpg")</f>
        <v/>
      </c>
      <c r="B183" s="86" t="inlineStr">
        <is>
          <t>Cosy House Collection</t>
        </is>
      </c>
      <c r="C183" s="32" t="inlineStr">
        <is>
          <t>Cosy House Collection 100% Rayon Derived from Bamboo Bed Sheet Set</t>
        </is>
      </c>
      <c r="D183" s="86" t="inlineStr">
        <is>
          <t>Untiered</t>
        </is>
      </c>
      <c r="E183" s="87" t="inlineStr">
        <is>
          <t>B0CLBDW265</t>
        </is>
      </c>
      <c r="F183" s="87" t="inlineStr">
        <is>
          <t>B0B4F4NTBL</t>
        </is>
      </c>
      <c r="G183" s="86" t="inlineStr">
        <is>
          <t>King</t>
        </is>
      </c>
      <c r="H183" s="86" t="inlineStr">
        <is>
          <t>White</t>
        </is>
      </c>
      <c r="I183" s="88" t="n">
        <v>77</v>
      </c>
      <c r="J183" s="32" t="inlineStr"/>
      <c r="K183" s="89" t="n">
        <v>89.95</v>
      </c>
      <c r="L183" s="89" t="n"/>
      <c r="M183" s="90">
        <f>IF(AND(ISNUMBER(L183),ISNUMBER(K183),N(K183)&gt;0),L183/K183-1,"")</f>
        <v/>
      </c>
      <c r="N183" s="91">
        <f>IF(M183="","No List Price",IF(M183&lt;=0,"At/below price",IF(M183&lt;=0.12,"&lt;=12% STR zone",IF(M183&lt;=0.25,"12-25%","&gt;25% over"))))</f>
        <v/>
      </c>
      <c r="O183" s="89" t="n">
        <v>99.98999999999999</v>
      </c>
      <c r="P183" s="92">
        <f>IF(AND(ISNUMBER(K183),ISNUMBER(O183),N(O183)&gt;0),K183/O183-1,"")</f>
        <v/>
      </c>
      <c r="Q183" s="32" t="inlineStr">
        <is>
          <t>Same size (King). Ours live: Helium 10 Xray, 2026-10-13; 15 children</t>
        </is>
      </c>
      <c r="R183" s="88" t="n">
        <v>20356</v>
      </c>
      <c r="S183" s="88" t="n">
        <v>35</v>
      </c>
      <c r="T183" s="93">
        <f>IF(AND(ISNUMBER(K183),ISNUMBER(S183)),K183*S183*52/12,"")</f>
        <v/>
      </c>
      <c r="U183" s="94" t="n">
        <v>4.3</v>
      </c>
      <c r="V183" s="88" t="n">
        <v>7941</v>
      </c>
      <c r="W183" s="95" t="n">
        <v>46307</v>
      </c>
      <c r="X183" s="95" t="n">
        <v>45344</v>
      </c>
      <c r="Y183" s="86" t="inlineStr">
        <is>
          <t>FBA</t>
        </is>
      </c>
      <c r="Z183" s="86" t="inlineStr">
        <is>
          <t>US</t>
        </is>
      </c>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N</t>
        </is>
      </c>
      <c r="AS183" s="98" t="inlineStr">
        <is>
          <t>none</t>
        </is>
      </c>
      <c r="AT183" s="104" t="n"/>
      <c r="AU183" s="99" t="n">
        <v>89.95</v>
      </c>
      <c r="AV183" s="98" t="inlineStr">
        <is>
          <t>none</t>
        </is>
      </c>
      <c r="AW183" s="98" t="inlineStr">
        <is>
          <t>Y</t>
        </is>
      </c>
      <c r="AX183" s="98" t="inlineStr">
        <is>
          <t>2026-10-13 23:35:59</t>
        </is>
      </c>
      <c r="AY183" s="100" t="inlineStr">
        <is>
          <t>None</t>
        </is>
      </c>
      <c r="AZ183" s="105" t="n"/>
      <c r="BA183" s="101" t="n">
        <v>89.95</v>
      </c>
      <c r="BB183" s="101" t="n">
        <v>89.95</v>
      </c>
      <c r="BC183" s="90">
        <f>IF(AND(ISNUMBER(BA183),ISNUMBER(BB183),N(BA183)&gt;0),1-BB183/BA183,"")</f>
        <v/>
      </c>
      <c r="BD183" s="102" t="n">
        <v>56877</v>
      </c>
      <c r="BE183" s="102" t="n">
        <v>87565</v>
      </c>
      <c r="BF183" s="103">
        <f>IF(AND(ISNUMBER(BD183),ISNUMBER(BE183),N(BE183)&gt;0),BD183/BE183,"")</f>
        <v/>
      </c>
      <c r="BG183" s="100" t="inlineStr">
        <is>
          <t>Y</t>
        </is>
      </c>
      <c r="BH183" s="100" t="inlineStr">
        <is>
          <t>List Price $199.99</t>
        </is>
      </c>
    </row>
    <row r="184" ht="62" customHeight="1">
      <c r="A184" s="10">
        <f>_xlfn.IMAGE("https://images-na.ssl-images-amazon.com/images/I/81fpVjndH2L.jpg")</f>
        <v/>
      </c>
      <c r="B184" s="86" t="inlineStr">
        <is>
          <t>Shilucheng</t>
        </is>
      </c>
      <c r="C184" s="32" t="inlineStr">
        <is>
          <t>Shilucheng 4 Piece King Sheet Sets, Cooling Sheets, Dark Grey</t>
        </is>
      </c>
      <c r="D184" s="86" t="inlineStr">
        <is>
          <t>Untiered</t>
        </is>
      </c>
      <c r="E184" s="87" t="inlineStr">
        <is>
          <t>B098JT1RF2</t>
        </is>
      </c>
      <c r="F184" s="87" t="inlineStr">
        <is>
          <t>B098JT1RF2</t>
        </is>
      </c>
      <c r="G184" s="86" t="inlineStr">
        <is>
          <t>King</t>
        </is>
      </c>
      <c r="H184" s="86" t="inlineStr">
        <is>
          <t>Grey</t>
        </is>
      </c>
      <c r="I184" s="88" t="n">
        <v>100</v>
      </c>
      <c r="J184" s="32" t="inlineStr">
        <is>
          <t>B0FWY1TGFK (65%), B098JT1RF2 (23%)</t>
        </is>
      </c>
      <c r="K184" s="89" t="n">
        <v>37.9</v>
      </c>
      <c r="L184" s="89" t="n"/>
      <c r="M184" s="90">
        <f>IF(AND(ISNUMBER(L184),ISNUMBER(K184),N(K184)&gt;0),L184/K184-1,"")</f>
        <v/>
      </c>
      <c r="N184" s="91">
        <f>IF(M184="","No List Price",IF(M184&lt;=0,"At/below price",IF(M184&lt;=0.12,"&lt;=12% STR zone",IF(M184&lt;=0.25,"12-25%","&gt;25% over"))))</f>
        <v/>
      </c>
      <c r="O184" s="89" t="n">
        <v>99.98999999999999</v>
      </c>
      <c r="P184" s="92">
        <f>IF(AND(ISNUMBER(K184),ISNUMBER(O184),N(O184)&gt;0),K184/O184-1,"")</f>
        <v/>
      </c>
      <c r="Q184" s="32" t="inlineStr">
        <is>
          <t>Same size (King). Ours live: Helium 10 Xray, 2026-10-13; 15 children</t>
        </is>
      </c>
      <c r="R184" s="88" t="n">
        <v>9187</v>
      </c>
      <c r="S184" s="88" t="n">
        <v>18</v>
      </c>
      <c r="T184" s="93">
        <f>IF(AND(ISNUMBER(K184),ISNUMBER(S184)),K184*S184*52/12,"")</f>
        <v/>
      </c>
      <c r="U184" s="94" t="n">
        <v>4.3</v>
      </c>
      <c r="V184" s="88" t="n">
        <v>24333</v>
      </c>
      <c r="W184" s="95" t="n">
        <v>46286</v>
      </c>
      <c r="X184" s="95" t="n">
        <v>44379</v>
      </c>
      <c r="Y184" s="86" t="inlineStr">
        <is>
          <t>FBA</t>
        </is>
      </c>
      <c r="Z184" s="86" t="inlineStr">
        <is>
          <t>CN</t>
        </is>
      </c>
      <c r="AA184" s="88" t="n">
        <v>23320</v>
      </c>
      <c r="AB184" s="88" t="n">
        <v>859</v>
      </c>
      <c r="AC184" s="96" t="n">
        <v>0.6141093996569467</v>
      </c>
      <c r="AD184" s="96" t="n">
        <v>0.3858907375643228</v>
      </c>
      <c r="AE184" s="32" t="inlineStr">
        <is>
          <t>bamboo sheets</t>
        </is>
      </c>
      <c r="AF184" s="96" t="n">
        <v>0.5330188679245284</v>
      </c>
      <c r="AG184" s="96" t="n"/>
      <c r="AH184" s="96" t="n"/>
      <c r="AI184" s="96" t="n">
        <v>0.006989708404802744</v>
      </c>
      <c r="AJ184" s="88" t="n">
        <v>600</v>
      </c>
      <c r="AK184" s="88" t="n">
        <v>368</v>
      </c>
      <c r="AL184" s="88" t="n">
        <v>208</v>
      </c>
      <c r="AM184" s="88" t="n">
        <v>259</v>
      </c>
      <c r="AN184" s="88" t="n">
        <v>176</v>
      </c>
      <c r="AO184" s="88" t="n">
        <v>37</v>
      </c>
      <c r="AP184" s="97" t="n"/>
      <c r="AQ184" s="92" t="n">
        <v>-0.9551569506726457</v>
      </c>
      <c r="AR184" s="98" t="inlineStr">
        <is>
          <t>N</t>
        </is>
      </c>
      <c r="AS184" s="98" t="inlineStr">
        <is>
          <t>none</t>
        </is>
      </c>
      <c r="AT184" s="104" t="n"/>
      <c r="AU184" s="99" t="n">
        <v>37.9</v>
      </c>
      <c r="AV184" s="98" t="inlineStr">
        <is>
          <t>coupon 15%</t>
        </is>
      </c>
      <c r="AW184" s="98" t="inlineStr">
        <is>
          <t>Y</t>
        </is>
      </c>
      <c r="AX184" s="98" t="inlineStr">
        <is>
          <t>2026-10-13 12:11:29</t>
        </is>
      </c>
      <c r="AY184" s="100" t="inlineStr">
        <is>
          <t>Coupon only</t>
        </is>
      </c>
      <c r="AZ184" s="100" t="inlineStr">
        <is>
          <t>11-05 to 12-05</t>
        </is>
      </c>
      <c r="BA184" s="101" t="n">
        <v>37.9</v>
      </c>
      <c r="BB184" s="101" t="n">
        <v>30.32</v>
      </c>
      <c r="BC184" s="90">
        <f>IF(AND(ISNUMBER(BA184),ISNUMBER(BB184),N(BA184)&gt;0),1-BB184/BA184,"")</f>
        <v/>
      </c>
      <c r="BD184" s="102" t="n">
        <v>4668</v>
      </c>
      <c r="BE184" s="102" t="n">
        <v>3277</v>
      </c>
      <c r="BF184" s="103">
        <f>IF(AND(ISNUMBER(BD184),ISNUMBER(BE184),N(BE184)&gt;0),BD184/BE184,"")</f>
        <v/>
      </c>
      <c r="BG184" s="100" t="inlineStr">
        <is>
          <t>N</t>
        </is>
      </c>
      <c r="BH184" s="100" t="inlineStr">
        <is>
          <t>Coupon 15%; List Price $37.90</t>
        </is>
      </c>
    </row>
    <row r="185" ht="62" customHeight="1">
      <c r="A185" s="10">
        <f>_xlfn.IMAGE("https://m.media-amazon.com/images/I/7172f86VS1L._AC_SL1500_.jpg")</f>
        <v/>
      </c>
      <c r="B185" s="86" t="inlineStr">
        <is>
          <t>KAKIJUMN</t>
        </is>
      </c>
      <c r="C185" s="32" t="inlineStr">
        <is>
          <t>KAKIJUMN 6 Piece King Sheets Set, Rayon Derived from Bamboo Blend</t>
        </is>
      </c>
      <c r="D185" s="86" t="inlineStr">
        <is>
          <t>Untiered</t>
        </is>
      </c>
      <c r="E185" s="87" t="inlineStr">
        <is>
          <t>B0HFVC6529</t>
        </is>
      </c>
      <c r="F185" s="87" t="inlineStr">
        <is>
          <t>B0H1MNZ16Z</t>
        </is>
      </c>
      <c r="G185" s="86" t="inlineStr">
        <is>
          <t>Queen</t>
        </is>
      </c>
      <c r="H185" s="86" t="inlineStr">
        <is>
          <t>Warm Beige</t>
        </is>
      </c>
      <c r="I185" s="88" t="n"/>
      <c r="J185" s="32" t="inlineStr"/>
      <c r="K185" s="89" t="n">
        <v>38.39</v>
      </c>
      <c r="L185" s="89" t="n">
        <v>47.99</v>
      </c>
      <c r="M185" s="90">
        <f>IF(AND(ISNUMBER(L185),ISNUMBER(K185),N(K185)&gt;0),L185/K185-1,"")</f>
        <v/>
      </c>
      <c r="N185" s="91">
        <f>IF(M185="","No List Price",IF(M185&lt;=0,"At/below price",IF(M185&lt;=0.12,"&lt;=12% STR zone",IF(M185&lt;=0.25,"12-25%","&gt;25% over"))))</f>
        <v/>
      </c>
      <c r="O185" s="89" t="n">
        <v>94.98999999999999</v>
      </c>
      <c r="P185" s="92">
        <f>IF(AND(ISNUMBER(K185),ISNUMBER(O185),N(O185)&gt;0),K185/O185-1,"")</f>
        <v/>
      </c>
      <c r="Q185" s="32" t="inlineStr">
        <is>
          <t>Same size (Queen). Ours live: Helium 10 Xray, 2026-10-13; 15 children</t>
        </is>
      </c>
      <c r="R185" s="88" t="n">
        <v>64915</v>
      </c>
      <c r="S185" s="88" t="n">
        <v>18</v>
      </c>
      <c r="T185" s="93">
        <f>IF(AND(ISNUMBER(K185),ISNUMBER(S185)),K185*S185*52/12,"")</f>
        <v/>
      </c>
      <c r="U185" s="94" t="n">
        <v>4</v>
      </c>
      <c r="V185" s="88" t="n">
        <v>71</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Y</t>
        </is>
      </c>
      <c r="AS185" s="98" t="inlineStr">
        <is>
          <t>List Price</t>
        </is>
      </c>
      <c r="AT185" s="99" t="n">
        <v>47.99</v>
      </c>
      <c r="AU185" s="99" t="n">
        <v>38.39</v>
      </c>
      <c r="AV185" s="98" t="inlineStr">
        <is>
          <t>none</t>
        </is>
      </c>
      <c r="AW185" s="98" t="inlineStr">
        <is>
          <t>Y</t>
        </is>
      </c>
      <c r="AX185" s="98" t="inlineStr">
        <is>
          <t>2026-10-13 23:36:27</t>
        </is>
      </c>
      <c r="AY185" s="100" t="inlineStr">
        <is>
          <t>Not live in 2025</t>
        </is>
      </c>
      <c r="AZ185" s="105" t="n"/>
      <c r="BA185" s="104" t="n"/>
      <c r="BB185" s="104" t="n"/>
      <c r="BC185" s="90">
        <f>IF(AND(ISNUMBER(BA185),ISNUMBER(BB185),N(BA185)&gt;0),1-BB185/BA185,"")</f>
        <v/>
      </c>
      <c r="BD185" s="106" t="n"/>
      <c r="BE185" s="106" t="n"/>
      <c r="BF185" s="103">
        <f>IF(AND(ISNUMBER(BD185),ISNUMBER(BE185),N(BE185)&gt;0),BD185/BE185,"")</f>
        <v/>
      </c>
      <c r="BG185" s="105" t="n"/>
      <c r="BH185" s="105" t="n"/>
    </row>
    <row r="186" ht="62" customHeight="1">
      <c r="A186" s="10">
        <f>_xlfn.IMAGE("https://m.media-amazon.com/images/I/51UOEzUD6wL._AC_SL1254_.jpg")</f>
        <v/>
      </c>
      <c r="B186" s="86" t="inlineStr">
        <is>
          <t>MRIDU</t>
        </is>
      </c>
      <c r="C186" s="32" t="inlineStr">
        <is>
          <t>MRIDU Bamboo Viscose Sheet Set, 4-Piece, Pure White, King</t>
        </is>
      </c>
      <c r="D186" s="86" t="inlineStr">
        <is>
          <t>Untiered</t>
        </is>
      </c>
      <c r="E186" s="87" t="inlineStr">
        <is>
          <t>B0GSXPDW9C</t>
        </is>
      </c>
      <c r="F186" s="87" t="inlineStr">
        <is>
          <t>B0GSXRR9DN</t>
        </is>
      </c>
      <c r="G186" s="86" t="inlineStr">
        <is>
          <t>Full</t>
        </is>
      </c>
      <c r="H186" s="86" t="inlineStr">
        <is>
          <t>Pure White</t>
        </is>
      </c>
      <c r="I186" s="88" t="n"/>
      <c r="J186" s="32" t="inlineStr"/>
      <c r="K186" s="89" t="n">
        <v>89.98999999999999</v>
      </c>
      <c r="L186" s="89" t="n"/>
      <c r="M186" s="90">
        <f>IF(AND(ISNUMBER(L186),ISNUMBER(K186),N(K186)&gt;0),L186/K186-1,"")</f>
        <v/>
      </c>
      <c r="N186" s="91">
        <f>IF(M186="","No List Price",IF(M186&lt;=0,"At/below price",IF(M186&lt;=0.12,"&lt;=12% STR zone",IF(M186&lt;=0.25,"12-25%","&gt;25% over"))))</f>
        <v/>
      </c>
      <c r="O186" s="89" t="n">
        <v>79.98999999999999</v>
      </c>
      <c r="P186" s="92">
        <f>IF(AND(ISNUMBER(K186),ISNUMBER(O186),N(O186)&gt;0),K186/O186-1,"")</f>
        <v/>
      </c>
      <c r="Q186" s="32" t="inlineStr">
        <is>
          <t>Same size (Full). Ours live: Helium 10 Xray, 2026-10-13; 10 children</t>
        </is>
      </c>
      <c r="R186" s="88" t="n">
        <v>1970806</v>
      </c>
      <c r="S186" s="88" t="n">
        <v>5</v>
      </c>
      <c r="T186" s="93">
        <f>IF(AND(ISNUMBER(K186),ISNUMBER(S186)),K186*S186*52/12,"")</f>
        <v/>
      </c>
      <c r="U186" s="94" t="n">
        <v>3.9</v>
      </c>
      <c r="V186" s="88" t="n">
        <v>24</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N</t>
        </is>
      </c>
      <c r="AS186" s="98" t="inlineStr">
        <is>
          <t>none</t>
        </is>
      </c>
      <c r="AT186" s="104" t="n"/>
      <c r="AU186" s="99" t="n">
        <v>89.98999999999999</v>
      </c>
      <c r="AV186" s="98" t="inlineStr">
        <is>
          <t>none</t>
        </is>
      </c>
      <c r="AW186" s="98" t="inlineStr">
        <is>
          <t>Y</t>
        </is>
      </c>
      <c r="AX186" s="98" t="inlineStr">
        <is>
          <t>2026-10-13 23:36:42</t>
        </is>
      </c>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_xlfn.IMAGE("https://m.media-amazon.com/images/I/81LmQQkUCeL._AC_SL1500_.jpg")</f>
        <v/>
      </c>
      <c r="B187" s="86" t="inlineStr">
        <is>
          <t>Brooklyn Loom</t>
        </is>
      </c>
      <c r="C187" s="32" t="inlineStr">
        <is>
          <t>Brooklyn Loom 300 Thread Count Sateen 100% Rayon from Bamboo Deep Pocket 4 Piece</t>
        </is>
      </c>
      <c r="D187" s="86" t="inlineStr">
        <is>
          <t>Untiered</t>
        </is>
      </c>
      <c r="E187" s="87" t="inlineStr">
        <is>
          <t>B0H29TVSQX</t>
        </is>
      </c>
      <c r="F187" s="87" t="inlineStr">
        <is>
          <t>B0FQ8JCH46</t>
        </is>
      </c>
      <c r="G187" s="86" t="inlineStr">
        <is>
          <t>King (U.S. Standard)</t>
        </is>
      </c>
      <c r="H187" s="86" t="inlineStr">
        <is>
          <t>Charcoal</t>
        </is>
      </c>
      <c r="I187" s="88" t="n"/>
      <c r="J187" s="32" t="inlineStr"/>
      <c r="K187" s="89" t="n">
        <v>129.99</v>
      </c>
      <c r="L187" s="89" t="n"/>
      <c r="M187" s="90">
        <f>IF(AND(ISNUMBER(L187),ISNUMBER(K187),N(K187)&gt;0),L187/K187-1,"")</f>
        <v/>
      </c>
      <c r="N187" s="91">
        <f>IF(M187="","No List Price",IF(M187&lt;=0,"At/below price",IF(M187&lt;=0.12,"&lt;=12% STR zone",IF(M187&lt;=0.25,"12-25%","&gt;25% over"))))</f>
        <v/>
      </c>
      <c r="O187" s="89" t="n">
        <v>89.52942359978253</v>
      </c>
      <c r="P187" s="92">
        <f>IF(AND(ISNUMBER(K187),ISNUMBER(O187),N(O187)&gt;0),K187/O187-1,"")</f>
        <v/>
      </c>
      <c r="Q187" s="32" t="inlineStr">
        <is>
          <t>vs our blended price (Command Center, Mar 2026 - STALE)</t>
        </is>
      </c>
      <c r="R187" s="88" t="n">
        <v>1216102</v>
      </c>
      <c r="S187" s="88" t="n">
        <v>5</v>
      </c>
      <c r="T187" s="93">
        <f>IF(AND(ISNUMBER(K187),ISNUMBER(S187)),K187*S187*52/12,"")</f>
        <v/>
      </c>
      <c r="U187" s="94" t="n">
        <v>4.5</v>
      </c>
      <c r="V187" s="88" t="n">
        <v>13</v>
      </c>
      <c r="W187" s="95" t="n">
        <v>46307</v>
      </c>
      <c r="X187" s="95" t="n"/>
      <c r="Y187" s="86" t="n"/>
      <c r="Z187" s="86" t="n"/>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98" t="inlineStr">
        <is>
          <t>N</t>
        </is>
      </c>
      <c r="AS187" s="98" t="inlineStr">
        <is>
          <t>none</t>
        </is>
      </c>
      <c r="AT187" s="104" t="n"/>
      <c r="AU187" s="99" t="n">
        <v>129.99</v>
      </c>
      <c r="AV187" s="98" t="inlineStr">
        <is>
          <t>none</t>
        </is>
      </c>
      <c r="AW187" s="98" t="inlineStr">
        <is>
          <t>Y</t>
        </is>
      </c>
      <c r="AX187" s="98" t="inlineStr">
        <is>
          <t>2026-10-13 23:47:55</t>
        </is>
      </c>
      <c r="AY187" s="100" t="inlineStr">
        <is>
          <t>None</t>
        </is>
      </c>
      <c r="AZ187" s="105" t="n"/>
      <c r="BA187" s="101" t="n">
        <v>129.99</v>
      </c>
      <c r="BB187" s="101" t="n">
        <v>129.99</v>
      </c>
      <c r="BC187" s="90">
        <f>IF(AND(ISNUMBER(BA187),ISNUMBER(BB187),N(BA187)&gt;0),1-BB187/BA187,"")</f>
        <v/>
      </c>
      <c r="BD187" s="102" t="n">
        <v>1517805</v>
      </c>
      <c r="BE187" s="106" t="n"/>
      <c r="BF187" s="103">
        <f>IF(AND(ISNUMBER(BD187),ISNUMBER(BE187),N(BE187)&gt;0),BD187/BE187,"")</f>
        <v/>
      </c>
      <c r="BG187" s="100" t="inlineStr">
        <is>
          <t>N</t>
        </is>
      </c>
      <c r="BH187" s="100" t="inlineStr">
        <is>
          <t>List Price $260.00</t>
        </is>
      </c>
    </row>
    <row r="188" ht="62" customHeight="1">
      <c r="A188" s="10">
        <f>_xlfn.IMAGE("https://images-na.ssl-images-amazon.com/images/I/61qpaDyqceL.jpg")</f>
        <v/>
      </c>
      <c r="B188" s="86" t="inlineStr">
        <is>
          <t>MCO</t>
        </is>
      </c>
      <c r="C188" s="32" t="inlineStr">
        <is>
          <t>MCO 4 Piece Cooling &amp; Breathable Queen Sheet Set, Rayon Derived from Bamboo, 16" Deep Pocket, Hotel Luxury Soft Silky Queen Bedding Set for Hot Sleepers- Forest Green</t>
        </is>
      </c>
      <c r="D188" s="86" t="inlineStr">
        <is>
          <t>Untiered</t>
        </is>
      </c>
      <c r="E188" s="86" t="n"/>
      <c r="F188" s="87" t="inlineStr">
        <is>
          <t>B0FW51LMYP</t>
        </is>
      </c>
      <c r="G188" s="86" t="inlineStr">
        <is>
          <t>Queen</t>
        </is>
      </c>
      <c r="H188" s="86" t="inlineStr">
        <is>
          <t>Green</t>
        </is>
      </c>
      <c r="I188" s="88" t="n">
        <v>48</v>
      </c>
      <c r="J188" s="32" t="inlineStr"/>
      <c r="K188" s="89" t="n">
        <v>22.5</v>
      </c>
      <c r="L188" s="89" t="n"/>
      <c r="M188" s="90">
        <f>IF(AND(ISNUMBER(L188),ISNUMBER(K188),N(K188)&gt;0),L188/K188-1,"")</f>
        <v/>
      </c>
      <c r="N188" s="91">
        <f>IF(M188="","No List Price",IF(M188&lt;=0,"At/below price",IF(M188&lt;=0.12,"&lt;=12% STR zone",IF(M188&lt;=0.25,"12-25%","&gt;25% over"))))</f>
        <v/>
      </c>
      <c r="O188" s="89" t="n">
        <v>94.98999999999999</v>
      </c>
      <c r="P188" s="92">
        <f>IF(AND(ISNUMBER(K188),ISNUMBER(O188),N(O188)&gt;0),K188/O188-1,"")</f>
        <v/>
      </c>
      <c r="Q188" s="32" t="inlineStr">
        <is>
          <t>Same size (Queen). Ours live: Helium 10 Xray, 2026-10-13; 15 children</t>
        </is>
      </c>
      <c r="R188" s="88" t="n">
        <v>88098</v>
      </c>
      <c r="S188" s="88" t="n"/>
      <c r="T188" s="93">
        <f>IF(AND(ISNUMBER(K188),ISNUMBER(S188)),K188*S188*52/12,"")</f>
        <v/>
      </c>
      <c r="U188" s="94" t="n">
        <v>4</v>
      </c>
      <c r="V188" s="88" t="n">
        <v>482</v>
      </c>
      <c r="W188" s="95" t="n">
        <v>46306</v>
      </c>
      <c r="X188" s="95" t="n">
        <v>45944</v>
      </c>
      <c r="Y188" s="86" t="inlineStr">
        <is>
          <t>FBA</t>
        </is>
      </c>
      <c r="Z188" s="86" t="inlineStr">
        <is>
          <t>CN</t>
        </is>
      </c>
      <c r="AA188" s="88" t="n"/>
      <c r="AB188" s="88" t="n"/>
      <c r="AC188" s="96" t="n"/>
      <c r="AD188" s="96" t="n"/>
      <c r="AE188" s="32" t="n"/>
      <c r="AF188" s="96" t="n"/>
      <c r="AG188" s="96" t="n"/>
      <c r="AH188" s="96" t="n"/>
      <c r="AI188" s="96" t="n"/>
      <c r="AJ188" s="88" t="n"/>
      <c r="AK188" s="88" t="n"/>
      <c r="AL188" s="88" t="n"/>
      <c r="AM188" s="88" t="n"/>
      <c r="AN188" s="88" t="n"/>
      <c r="AO188" s="88" t="n"/>
      <c r="AP188" s="97" t="n"/>
      <c r="AQ188" s="92" t="n"/>
      <c r="AR188" s="105" t="n"/>
      <c r="AS188" s="105" t="n"/>
      <c r="AT188" s="104" t="n"/>
      <c r="AU188" s="104" t="n"/>
      <c r="AV188" s="105" t="n"/>
      <c r="AW188" s="105" t="n"/>
      <c r="AX188" s="105" t="n"/>
      <c r="AY188" s="100" t="inlineStr">
        <is>
          <t>Not live in 2025</t>
        </is>
      </c>
      <c r="AZ188" s="105" t="n"/>
      <c r="BA188" s="104" t="n"/>
      <c r="BB188" s="104" t="n"/>
      <c r="BC188" s="90">
        <f>IF(AND(ISNUMBER(BA188),ISNUMBER(BB188),N(BA188)&gt;0),1-BB188/BA188,"")</f>
        <v/>
      </c>
      <c r="BD188" s="106" t="n"/>
      <c r="BE188" s="106" t="n"/>
      <c r="BF188" s="103">
        <f>IF(AND(ISNUMBER(BD188),ISNUMBER(BE188),N(BE188)&gt;0),BD188/BE188,"")</f>
        <v/>
      </c>
      <c r="BG188" s="105" t="n"/>
      <c r="BH188" s="105" t="n"/>
    </row>
    <row r="189" ht="62" customHeight="1">
      <c r="A189" s="10">
        <f>_xlfn.IMAGE("https://images-na.ssl-images-amazon.com/images/I/71q7X74N9cL.jpg")</f>
        <v/>
      </c>
      <c r="B189" s="86" t="inlineStr">
        <is>
          <t>Vipfree</t>
        </is>
      </c>
      <c r="C189" s="32" t="inlineStr">
        <is>
          <t>Vipfree California King Sheet Set, Cooling Rayon 4-Piece Bedding with Deep Pockets, Sand, 300 Thread Count</t>
        </is>
      </c>
      <c r="D189" s="86" t="inlineStr">
        <is>
          <t>Untiered</t>
        </is>
      </c>
      <c r="E189" s="86" t="n"/>
      <c r="F189" s="87" t="inlineStr">
        <is>
          <t>B0DF7NK85K</t>
        </is>
      </c>
      <c r="G189" s="86" t="inlineStr">
        <is>
          <t>California King</t>
        </is>
      </c>
      <c r="H189" s="86" t="inlineStr">
        <is>
          <t>Sand</t>
        </is>
      </c>
      <c r="I189" s="88" t="n">
        <v>2</v>
      </c>
      <c r="J189" s="32" t="inlineStr"/>
      <c r="K189" s="89" t="n">
        <v>34.99</v>
      </c>
      <c r="L189" s="89" t="n"/>
      <c r="M189" s="90">
        <f>IF(AND(ISNUMBER(L189),ISNUMBER(K189),N(K189)&gt;0),L189/K189-1,"")</f>
        <v/>
      </c>
      <c r="N189" s="91">
        <f>IF(M189="","No List Price",IF(M189&lt;=0,"At/below price",IF(M189&lt;=0.12,"&lt;=12% STR zone",IF(M189&lt;=0.25,"12-25%","&gt;25% over"))))</f>
        <v/>
      </c>
      <c r="O189" s="89" t="n">
        <v>99.98999999999999</v>
      </c>
      <c r="P189" s="92">
        <f>IF(AND(ISNUMBER(K189),ISNUMBER(O189),N(O189)&gt;0),K189/O189-1,"")</f>
        <v/>
      </c>
      <c r="Q189" s="32" t="inlineStr">
        <is>
          <t>Same size (California King). Ours live: Helium 10 Xray, 2026-10-13; 12 children</t>
        </is>
      </c>
      <c r="R189" s="88" t="n">
        <v>646670</v>
      </c>
      <c r="S189" s="88" t="n"/>
      <c r="T189" s="93">
        <f>IF(AND(ISNUMBER(K189),ISNUMBER(S189)),K189*S189*52/12,"")</f>
        <v/>
      </c>
      <c r="U189" s="94" t="n">
        <v>4.4</v>
      </c>
      <c r="V189" s="88" t="n">
        <v>436</v>
      </c>
      <c r="W189" s="95" t="n">
        <v>46306</v>
      </c>
      <c r="X189" s="95" t="n">
        <v>45590</v>
      </c>
      <c r="Y189" s="86" t="inlineStr">
        <is>
          <t>FBM</t>
        </is>
      </c>
      <c r="Z189" s="86" t="inlineStr">
        <is>
          <t>N/A</t>
        </is>
      </c>
      <c r="AA189" s="88" t="n"/>
      <c r="AB189" s="88" t="n"/>
      <c r="AC189" s="96" t="n"/>
      <c r="AD189" s="96" t="n"/>
      <c r="AE189" s="32" t="n"/>
      <c r="AF189" s="96" t="n"/>
      <c r="AG189" s="96" t="n"/>
      <c r="AH189" s="96" t="n"/>
      <c r="AI189" s="96" t="n"/>
      <c r="AJ189" s="88" t="n"/>
      <c r="AK189" s="88" t="n"/>
      <c r="AL189" s="88" t="n"/>
      <c r="AM189" s="88" t="n"/>
      <c r="AN189" s="88" t="n"/>
      <c r="AO189" s="88" t="n"/>
      <c r="AP189" s="97" t="n"/>
      <c r="AQ189" s="92" t="n"/>
      <c r="AR189" s="105" t="n"/>
      <c r="AS189" s="105" t="n"/>
      <c r="AT189" s="104" t="n"/>
      <c r="AU189" s="104" t="n"/>
      <c r="AV189" s="105" t="n"/>
      <c r="AW189" s="105" t="n"/>
      <c r="AX189" s="105" t="n"/>
      <c r="AY189" s="100" t="inlineStr">
        <is>
          <t>Price cut only</t>
        </is>
      </c>
      <c r="AZ189" s="100" t="inlineStr">
        <is>
          <t>11-20 to 11-20</t>
        </is>
      </c>
      <c r="BA189" s="101" t="n">
        <v>97.98999999999999</v>
      </c>
      <c r="BB189" s="101" t="n">
        <v>69.98999999999999</v>
      </c>
      <c r="BC189" s="90">
        <f>IF(AND(ISNUMBER(BA189),ISNUMBER(BB189),N(BA189)&gt;0),1-BB189/BA189,"")</f>
        <v/>
      </c>
      <c r="BD189" s="102" t="n">
        <v>128180</v>
      </c>
      <c r="BE189" s="102" t="n">
        <v>158143</v>
      </c>
      <c r="BF189" s="103">
        <f>IF(AND(ISNUMBER(BD189),ISNUMBER(BE189),N(BE189)&gt;0),BD189/BE189,"")</f>
        <v/>
      </c>
      <c r="BG189" s="105" t="n"/>
      <c r="BH189" s="100" t="inlineStr">
        <is>
          <t>List Price $97.99</t>
        </is>
      </c>
    </row>
    <row r="191" ht="20" customHeight="1">
      <c r="A191" s="53" t="inlineStr">
        <is>
          <t>5 · WHAT THIS MEANS FOR BFCM</t>
        </is>
      </c>
    </row>
    <row r="192" ht="30" customHeight="1">
      <c r="A192" s="107" t="inlineStr">
        <is>
          <t>•  Who sells most: Love's cabin ~924/wk at $37.99 (List $44.99, +18%); Bedsure ~809/wk at $62.99 (List $69.99, +11%); Pure Bamboo ~809/wk at $109.99; Hotel Sheets Direct ~347/wk at $79.99; KRIMANO ~185/wk at $79.99. Tracked rivals ~5,455 units/wk; we sell ~476/wk (8.0% of the tracked set).</t>
        </is>
      </c>
    </row>
    <row r="193" ht="18" customHeight="1">
      <c r="A193" s="107" t="inlineStr">
        <is>
          <t>•  Strikethrough: 14 of 61 rivals set a List Price above price; 2 within 12%: Bedsure +11%, AiAngu +7%.</t>
        </is>
      </c>
    </row>
    <row r="194" ht="30" customHeight="1">
      <c r="A194" s="107" t="inlineStr">
        <is>
          <t>•  Price: 42 of 61 rivals sit below our price today (same size where the title states one). Cheapest strong rivals: Love's cabin $37.99, BAMPURE $37.99, DOZ by SIJO $55.00, SONORO KATE $59.99.</t>
        </is>
      </c>
    </row>
    <row r="195" ht="30" customHeight="1">
      <c r="A195"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6" ht="30" customHeight="1">
      <c r="A196"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7" ht="30" customHeight="1">
      <c r="A197" s="107" t="inlineStr">
        <is>
          <t>•  Brand ads: Bedsure (SB 94%, SBV 65%), Pure Bamboo (SB 82%, SBV 88%), Bedsure (SB 98%, SBV 53%), BC BELLA COTERIE (SB 57%, SBV 56%), GOKOTTA (SB 8%, SBV 85%) hold Sponsored Brands / video on most of their traffic - the plan has our SB, SBV and display live by Nov 1.</t>
        </is>
      </c>
    </row>
    <row r="198" ht="18" customHeight="1">
      <c r="A198" s="107" t="inlineStr">
        <is>
          <t>•  Our BFCM 2025: 2.49x daily sales in BFCM week vs the 30 days before; TACoS 6.4% vs 7.4% before; December 1.36x.</t>
        </is>
      </c>
    </row>
    <row r="199" ht="18" customHeight="1">
      <c r="A199" s="107" t="inlineStr">
        <is>
          <t>•  Prime Day 2026: our organic visibility 1.44x vs rivals' median 1.25x (n=14) - we held or out-gained rivals.</t>
        </is>
      </c>
    </row>
    <row r="200" ht="30" customHeight="1">
      <c r="A200"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201" ht="18" customHeight="1">
      <c r="A201" s="107" t="inlineStr">
        <is>
          <t>•  1 rival not in the Keepa pulls yet (yellow BFCM 2025 columns) - remaining P2 batches, AGENT_PROMPTS Prompt 2.</t>
        </is>
      </c>
    </row>
  </sheetData>
  <autoFilter ref="B128:BH189"/>
  <mergeCells count="77">
    <mergeCell ref="A1:BH1"/>
    <mergeCell ref="L8:Q8"/>
    <mergeCell ref="A113:C113"/>
    <mergeCell ref="A13:D13"/>
    <mergeCell ref="L10:Q10"/>
    <mergeCell ref="Q13:T13"/>
    <mergeCell ref="K127:W127"/>
    <mergeCell ref="A193:BH193"/>
    <mergeCell ref="A192:BH192"/>
    <mergeCell ref="A4:B9"/>
    <mergeCell ref="A105:BH105"/>
    <mergeCell ref="D5:I5"/>
    <mergeCell ref="A194:BH194"/>
    <mergeCell ref="D6:I6"/>
    <mergeCell ref="A201:BH201"/>
    <mergeCell ref="L5:Q5"/>
    <mergeCell ref="Q11:T11"/>
    <mergeCell ref="A119:BH119"/>
    <mergeCell ref="L4:Q4"/>
    <mergeCell ref="D7:I7"/>
    <mergeCell ref="I13:L13"/>
    <mergeCell ref="A196:BH196"/>
    <mergeCell ref="D4:I4"/>
    <mergeCell ref="E12:H12"/>
    <mergeCell ref="A118:BH118"/>
    <mergeCell ref="A106:C106"/>
    <mergeCell ref="Q12:T12"/>
    <mergeCell ref="A11:D11"/>
    <mergeCell ref="A198:BH198"/>
    <mergeCell ref="A120:BH120"/>
    <mergeCell ref="A3:BH3"/>
    <mergeCell ref="D8:I8"/>
    <mergeCell ref="A200:BH200"/>
    <mergeCell ref="AA127:AQ127"/>
    <mergeCell ref="A121:BH121"/>
    <mergeCell ref="M13:P13"/>
    <mergeCell ref="A127:H127"/>
    <mergeCell ref="A15:BH15"/>
    <mergeCell ref="A108:C108"/>
    <mergeCell ref="A123:BH123"/>
    <mergeCell ref="X127:Z127"/>
    <mergeCell ref="A197:BH197"/>
    <mergeCell ref="A16:BH16"/>
    <mergeCell ref="D9:I9"/>
    <mergeCell ref="I11:L11"/>
    <mergeCell ref="L6:Q6"/>
    <mergeCell ref="A112:C112"/>
    <mergeCell ref="M11:P11"/>
    <mergeCell ref="A126:BH126"/>
    <mergeCell ref="A114:C114"/>
    <mergeCell ref="A122:BH122"/>
    <mergeCell ref="E13:H13"/>
    <mergeCell ref="D10:I10"/>
    <mergeCell ref="L7:Q7"/>
    <mergeCell ref="A125:BH125"/>
    <mergeCell ref="A107:C107"/>
    <mergeCell ref="A12:D12"/>
    <mergeCell ref="A199:BH199"/>
    <mergeCell ref="U13:X13"/>
    <mergeCell ref="AR127:AX127"/>
    <mergeCell ref="M12:P12"/>
    <mergeCell ref="A191:BH191"/>
    <mergeCell ref="L9:Q9"/>
    <mergeCell ref="A109:C109"/>
    <mergeCell ref="T6:Y6"/>
    <mergeCell ref="A195:BH195"/>
    <mergeCell ref="A111:C111"/>
    <mergeCell ref="A116:BH116"/>
    <mergeCell ref="U11:X11"/>
    <mergeCell ref="T5:Y5"/>
    <mergeCell ref="A115:BH115"/>
    <mergeCell ref="I12:L12"/>
    <mergeCell ref="AY127:BH127"/>
    <mergeCell ref="A117:BH117"/>
    <mergeCell ref="T4:Y4"/>
    <mergeCell ref="U12:X12"/>
    <mergeCell ref="E11:H11"/>
  </mergeCells>
  <conditionalFormatting sqref="N129:N189">
    <cfRule type="expression" priority="1" dxfId="1">
      <formula>N129="&lt;=12% STR zone"</formula>
    </cfRule>
  </conditionalFormatting>
  <conditionalFormatting sqref="W129:W189">
    <cfRule type="expression" priority="2" dxfId="0">
      <formula>AND(ISNUMBER(W129),W129&lt;DATE(2026,10,6))</formula>
    </cfRule>
  </conditionalFormatting>
  <conditionalFormatting sqref="Q129:Q189">
    <cfRule type="expression" priority="3" dxfId="0">
      <formula>ISNUMBER(SEARCH("STALE",Q129))</formula>
    </cfRule>
  </conditionalFormatting>
  <conditionalFormatting sqref="P129:P189">
    <cfRule type="expression" priority="4" dxfId="0">
      <formula>AND(ISNUMBER(P129),P129&lt;0)</formula>
    </cfRule>
  </conditionalFormatting>
  <dataValidations count="3">
    <dataValidation sqref="AR129:AR189 BG129:BG189" showDropDown="0" showInputMessage="0" showErrorMessage="0" allowBlank="1" type="list">
      <formula1>"Y,N"</formula1>
    </dataValidation>
    <dataValidation sqref="AS129:AS189" showDropDown="0" showInputMessage="0" showErrorMessage="0" allowBlank="1" type="list">
      <formula1>"List Price,Typical price,Was price,None"</formula1>
    </dataValidation>
    <dataValidation sqref="AY129:AY1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9" r:id="rId2"/>
    <hyperlink xmlns:r="http://schemas.openxmlformats.org/officeDocument/2006/relationships" ref="F129" r:id="rId3"/>
    <hyperlink xmlns:r="http://schemas.openxmlformats.org/officeDocument/2006/relationships" ref="E130" r:id="rId4"/>
    <hyperlink xmlns:r="http://schemas.openxmlformats.org/officeDocument/2006/relationships" ref="F130" r:id="rId5"/>
    <hyperlink xmlns:r="http://schemas.openxmlformats.org/officeDocument/2006/relationships" ref="E131" r:id="rId6"/>
    <hyperlink xmlns:r="http://schemas.openxmlformats.org/officeDocument/2006/relationships" ref="F131" r:id="rId7"/>
    <hyperlink xmlns:r="http://schemas.openxmlformats.org/officeDocument/2006/relationships" ref="E132" r:id="rId8"/>
    <hyperlink xmlns:r="http://schemas.openxmlformats.org/officeDocument/2006/relationships" ref="F132" r:id="rId9"/>
    <hyperlink xmlns:r="http://schemas.openxmlformats.org/officeDocument/2006/relationships" ref="E133" r:id="rId10"/>
    <hyperlink xmlns:r="http://schemas.openxmlformats.org/officeDocument/2006/relationships" ref="F133" r:id="rId11"/>
    <hyperlink xmlns:r="http://schemas.openxmlformats.org/officeDocument/2006/relationships" ref="E134" r:id="rId12"/>
    <hyperlink xmlns:r="http://schemas.openxmlformats.org/officeDocument/2006/relationships" ref="F134" r:id="rId13"/>
    <hyperlink xmlns:r="http://schemas.openxmlformats.org/officeDocument/2006/relationships" ref="E135" r:id="rId14"/>
    <hyperlink xmlns:r="http://schemas.openxmlformats.org/officeDocument/2006/relationships" ref="F135" r:id="rId15"/>
    <hyperlink xmlns:r="http://schemas.openxmlformats.org/officeDocument/2006/relationships" ref="E136" r:id="rId16"/>
    <hyperlink xmlns:r="http://schemas.openxmlformats.org/officeDocument/2006/relationships" ref="F136" r:id="rId17"/>
    <hyperlink xmlns:r="http://schemas.openxmlformats.org/officeDocument/2006/relationships" ref="E137" r:id="rId18"/>
    <hyperlink xmlns:r="http://schemas.openxmlformats.org/officeDocument/2006/relationships" ref="F137" r:id="rId19"/>
    <hyperlink xmlns:r="http://schemas.openxmlformats.org/officeDocument/2006/relationships" ref="E138" r:id="rId20"/>
    <hyperlink xmlns:r="http://schemas.openxmlformats.org/officeDocument/2006/relationships" ref="F138" r:id="rId21"/>
    <hyperlink xmlns:r="http://schemas.openxmlformats.org/officeDocument/2006/relationships" ref="E139" r:id="rId22"/>
    <hyperlink xmlns:r="http://schemas.openxmlformats.org/officeDocument/2006/relationships" ref="F139" r:id="rId23"/>
    <hyperlink xmlns:r="http://schemas.openxmlformats.org/officeDocument/2006/relationships" ref="E140" r:id="rId24"/>
    <hyperlink xmlns:r="http://schemas.openxmlformats.org/officeDocument/2006/relationships" ref="F140" r:id="rId25"/>
    <hyperlink xmlns:r="http://schemas.openxmlformats.org/officeDocument/2006/relationships" ref="E141" r:id="rId26"/>
    <hyperlink xmlns:r="http://schemas.openxmlformats.org/officeDocument/2006/relationships" ref="F141" r:id="rId27"/>
    <hyperlink xmlns:r="http://schemas.openxmlformats.org/officeDocument/2006/relationships" ref="E142" r:id="rId28"/>
    <hyperlink xmlns:r="http://schemas.openxmlformats.org/officeDocument/2006/relationships" ref="F142" r:id="rId29"/>
    <hyperlink xmlns:r="http://schemas.openxmlformats.org/officeDocument/2006/relationships" ref="E143" r:id="rId30"/>
    <hyperlink xmlns:r="http://schemas.openxmlformats.org/officeDocument/2006/relationships" ref="F143" r:id="rId31"/>
    <hyperlink xmlns:r="http://schemas.openxmlformats.org/officeDocument/2006/relationships" ref="E144" r:id="rId32"/>
    <hyperlink xmlns:r="http://schemas.openxmlformats.org/officeDocument/2006/relationships" ref="F144" r:id="rId33"/>
    <hyperlink xmlns:r="http://schemas.openxmlformats.org/officeDocument/2006/relationships" ref="E145" r:id="rId34"/>
    <hyperlink xmlns:r="http://schemas.openxmlformats.org/officeDocument/2006/relationships" ref="F145" r:id="rId35"/>
    <hyperlink xmlns:r="http://schemas.openxmlformats.org/officeDocument/2006/relationships" ref="E146" r:id="rId36"/>
    <hyperlink xmlns:r="http://schemas.openxmlformats.org/officeDocument/2006/relationships" ref="F146" r:id="rId37"/>
    <hyperlink xmlns:r="http://schemas.openxmlformats.org/officeDocument/2006/relationships" ref="E147" r:id="rId38"/>
    <hyperlink xmlns:r="http://schemas.openxmlformats.org/officeDocument/2006/relationships" ref="F147" r:id="rId39"/>
    <hyperlink xmlns:r="http://schemas.openxmlformats.org/officeDocument/2006/relationships" ref="E148" r:id="rId40"/>
    <hyperlink xmlns:r="http://schemas.openxmlformats.org/officeDocument/2006/relationships" ref="F148" r:id="rId41"/>
    <hyperlink xmlns:r="http://schemas.openxmlformats.org/officeDocument/2006/relationships" ref="E149" r:id="rId42"/>
    <hyperlink xmlns:r="http://schemas.openxmlformats.org/officeDocument/2006/relationships" ref="F149" r:id="rId43"/>
    <hyperlink xmlns:r="http://schemas.openxmlformats.org/officeDocument/2006/relationships" ref="E150" r:id="rId44"/>
    <hyperlink xmlns:r="http://schemas.openxmlformats.org/officeDocument/2006/relationships" ref="F150" r:id="rId45"/>
    <hyperlink xmlns:r="http://schemas.openxmlformats.org/officeDocument/2006/relationships" ref="E151" r:id="rId46"/>
    <hyperlink xmlns:r="http://schemas.openxmlformats.org/officeDocument/2006/relationships" ref="F151" r:id="rId47"/>
    <hyperlink xmlns:r="http://schemas.openxmlformats.org/officeDocument/2006/relationships" ref="E152" r:id="rId48"/>
    <hyperlink xmlns:r="http://schemas.openxmlformats.org/officeDocument/2006/relationships" ref="F152" r:id="rId49"/>
    <hyperlink xmlns:r="http://schemas.openxmlformats.org/officeDocument/2006/relationships" ref="E153" r:id="rId50"/>
    <hyperlink xmlns:r="http://schemas.openxmlformats.org/officeDocument/2006/relationships" ref="F153" r:id="rId51"/>
    <hyperlink xmlns:r="http://schemas.openxmlformats.org/officeDocument/2006/relationships" ref="E154" r:id="rId52"/>
    <hyperlink xmlns:r="http://schemas.openxmlformats.org/officeDocument/2006/relationships" ref="F154" r:id="rId53"/>
    <hyperlink xmlns:r="http://schemas.openxmlformats.org/officeDocument/2006/relationships" ref="E155" r:id="rId54"/>
    <hyperlink xmlns:r="http://schemas.openxmlformats.org/officeDocument/2006/relationships" ref="F155" r:id="rId55"/>
    <hyperlink xmlns:r="http://schemas.openxmlformats.org/officeDocument/2006/relationships" ref="F156" r:id="rId56"/>
    <hyperlink xmlns:r="http://schemas.openxmlformats.org/officeDocument/2006/relationships" ref="F157" r:id="rId57"/>
    <hyperlink xmlns:r="http://schemas.openxmlformats.org/officeDocument/2006/relationships" ref="F158" r:id="rId58"/>
    <hyperlink xmlns:r="http://schemas.openxmlformats.org/officeDocument/2006/relationships" ref="E159" r:id="rId59"/>
    <hyperlink xmlns:r="http://schemas.openxmlformats.org/officeDocument/2006/relationships" ref="F159" r:id="rId60"/>
    <hyperlink xmlns:r="http://schemas.openxmlformats.org/officeDocument/2006/relationships" ref="E160" r:id="rId61"/>
    <hyperlink xmlns:r="http://schemas.openxmlformats.org/officeDocument/2006/relationships" ref="F160" r:id="rId62"/>
    <hyperlink xmlns:r="http://schemas.openxmlformats.org/officeDocument/2006/relationships" ref="E161" r:id="rId63"/>
    <hyperlink xmlns:r="http://schemas.openxmlformats.org/officeDocument/2006/relationships" ref="F161" r:id="rId64"/>
    <hyperlink xmlns:r="http://schemas.openxmlformats.org/officeDocument/2006/relationships" ref="E162" r:id="rId65"/>
    <hyperlink xmlns:r="http://schemas.openxmlformats.org/officeDocument/2006/relationships" ref="F162" r:id="rId66"/>
    <hyperlink xmlns:r="http://schemas.openxmlformats.org/officeDocument/2006/relationships" ref="E163" r:id="rId67"/>
    <hyperlink xmlns:r="http://schemas.openxmlformats.org/officeDocument/2006/relationships" ref="F163" r:id="rId68"/>
    <hyperlink xmlns:r="http://schemas.openxmlformats.org/officeDocument/2006/relationships" ref="E164" r:id="rId69"/>
    <hyperlink xmlns:r="http://schemas.openxmlformats.org/officeDocument/2006/relationships" ref="F164" r:id="rId70"/>
    <hyperlink xmlns:r="http://schemas.openxmlformats.org/officeDocument/2006/relationships" ref="E165" r:id="rId71"/>
    <hyperlink xmlns:r="http://schemas.openxmlformats.org/officeDocument/2006/relationships" ref="F165" r:id="rId72"/>
    <hyperlink xmlns:r="http://schemas.openxmlformats.org/officeDocument/2006/relationships" ref="E166" r:id="rId73"/>
    <hyperlink xmlns:r="http://schemas.openxmlformats.org/officeDocument/2006/relationships" ref="F166" r:id="rId74"/>
    <hyperlink xmlns:r="http://schemas.openxmlformats.org/officeDocument/2006/relationships" ref="E167" r:id="rId75"/>
    <hyperlink xmlns:r="http://schemas.openxmlformats.org/officeDocument/2006/relationships" ref="F167" r:id="rId76"/>
    <hyperlink xmlns:r="http://schemas.openxmlformats.org/officeDocument/2006/relationships" ref="E168" r:id="rId77"/>
    <hyperlink xmlns:r="http://schemas.openxmlformats.org/officeDocument/2006/relationships" ref="F168" r:id="rId78"/>
    <hyperlink xmlns:r="http://schemas.openxmlformats.org/officeDocument/2006/relationships" ref="E169" r:id="rId79"/>
    <hyperlink xmlns:r="http://schemas.openxmlformats.org/officeDocument/2006/relationships" ref="F169" r:id="rId80"/>
    <hyperlink xmlns:r="http://schemas.openxmlformats.org/officeDocument/2006/relationships" ref="E170" r:id="rId81"/>
    <hyperlink xmlns:r="http://schemas.openxmlformats.org/officeDocument/2006/relationships" ref="F170" r:id="rId82"/>
    <hyperlink xmlns:r="http://schemas.openxmlformats.org/officeDocument/2006/relationships" ref="E171" r:id="rId83"/>
    <hyperlink xmlns:r="http://schemas.openxmlformats.org/officeDocument/2006/relationships" ref="F171" r:id="rId84"/>
    <hyperlink xmlns:r="http://schemas.openxmlformats.org/officeDocument/2006/relationships" ref="E172" r:id="rId85"/>
    <hyperlink xmlns:r="http://schemas.openxmlformats.org/officeDocument/2006/relationships" ref="F172" r:id="rId86"/>
    <hyperlink xmlns:r="http://schemas.openxmlformats.org/officeDocument/2006/relationships" ref="E173" r:id="rId87"/>
    <hyperlink xmlns:r="http://schemas.openxmlformats.org/officeDocument/2006/relationships" ref="F173" r:id="rId88"/>
    <hyperlink xmlns:r="http://schemas.openxmlformats.org/officeDocument/2006/relationships" ref="E174" r:id="rId89"/>
    <hyperlink xmlns:r="http://schemas.openxmlformats.org/officeDocument/2006/relationships" ref="F174" r:id="rId90"/>
    <hyperlink xmlns:r="http://schemas.openxmlformats.org/officeDocument/2006/relationships" ref="E175" r:id="rId91"/>
    <hyperlink xmlns:r="http://schemas.openxmlformats.org/officeDocument/2006/relationships" ref="F175" r:id="rId92"/>
    <hyperlink xmlns:r="http://schemas.openxmlformats.org/officeDocument/2006/relationships" ref="E176" r:id="rId93"/>
    <hyperlink xmlns:r="http://schemas.openxmlformats.org/officeDocument/2006/relationships" ref="F176" r:id="rId94"/>
    <hyperlink xmlns:r="http://schemas.openxmlformats.org/officeDocument/2006/relationships" ref="F177" r:id="rId95"/>
    <hyperlink xmlns:r="http://schemas.openxmlformats.org/officeDocument/2006/relationships" ref="E178" r:id="rId96"/>
    <hyperlink xmlns:r="http://schemas.openxmlformats.org/officeDocument/2006/relationships" ref="F178" r:id="rId97"/>
    <hyperlink xmlns:r="http://schemas.openxmlformats.org/officeDocument/2006/relationships" ref="E179" r:id="rId98"/>
    <hyperlink xmlns:r="http://schemas.openxmlformats.org/officeDocument/2006/relationships" ref="F179" r:id="rId99"/>
    <hyperlink xmlns:r="http://schemas.openxmlformats.org/officeDocument/2006/relationships" ref="E180" r:id="rId100"/>
    <hyperlink xmlns:r="http://schemas.openxmlformats.org/officeDocument/2006/relationships" ref="F180" r:id="rId101"/>
    <hyperlink xmlns:r="http://schemas.openxmlformats.org/officeDocument/2006/relationships" ref="E181" r:id="rId102"/>
    <hyperlink xmlns:r="http://schemas.openxmlformats.org/officeDocument/2006/relationships" ref="F181" r:id="rId103"/>
    <hyperlink xmlns:r="http://schemas.openxmlformats.org/officeDocument/2006/relationships" ref="E182" r:id="rId104"/>
    <hyperlink xmlns:r="http://schemas.openxmlformats.org/officeDocument/2006/relationships" ref="F182" r:id="rId105"/>
    <hyperlink xmlns:r="http://schemas.openxmlformats.org/officeDocument/2006/relationships" ref="E183" r:id="rId106"/>
    <hyperlink xmlns:r="http://schemas.openxmlformats.org/officeDocument/2006/relationships" ref="F183" r:id="rId107"/>
    <hyperlink xmlns:r="http://schemas.openxmlformats.org/officeDocument/2006/relationships" ref="E184" r:id="rId108"/>
    <hyperlink xmlns:r="http://schemas.openxmlformats.org/officeDocument/2006/relationships" ref="F184" r:id="rId109"/>
    <hyperlink xmlns:r="http://schemas.openxmlformats.org/officeDocument/2006/relationships" ref="E185" r:id="rId110"/>
    <hyperlink xmlns:r="http://schemas.openxmlformats.org/officeDocument/2006/relationships" ref="F185" r:id="rId111"/>
    <hyperlink xmlns:r="http://schemas.openxmlformats.org/officeDocument/2006/relationships" ref="E186" r:id="rId112"/>
    <hyperlink xmlns:r="http://schemas.openxmlformats.org/officeDocument/2006/relationships" ref="F186" r:id="rId113"/>
    <hyperlink xmlns:r="http://schemas.openxmlformats.org/officeDocument/2006/relationships" ref="E187" r:id="rId114"/>
    <hyperlink xmlns:r="http://schemas.openxmlformats.org/officeDocument/2006/relationships" ref="F187" r:id="rId115"/>
    <hyperlink xmlns:r="http://schemas.openxmlformats.org/officeDocument/2006/relationships" ref="F188" r:id="rId116"/>
    <hyperlink xmlns:r="http://schemas.openxmlformats.org/officeDocument/2006/relationships" ref="F189"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Bamboo Sheets 6 Piece  ·  Amazon.ca (CA)  ·  Bamboo  ·  BFCM role: Hero: rank and profit  ·  Scope: Core</t>
        </is>
      </c>
    </row>
    <row r="2">
      <c r="A2" s="52" t="inlineStr">
        <is>
          <t>← Dashboard</t>
        </is>
      </c>
    </row>
    <row r="3" ht="20" customHeight="1">
      <c r="A3" s="53"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4" t="inlineStr">
        <is>
          <t>California King, Full, King, Queen, Twin</t>
        </is>
      </c>
      <c r="S4" s="11" t="inlineStr">
        <is>
          <t>Break-even ACoS</t>
        </is>
      </c>
      <c r="T4" s="54" t="inlineStr">
        <is>
          <t>38%</t>
        </is>
      </c>
    </row>
    <row r="5" ht="22" customHeight="1">
      <c r="C5" s="11" t="inlineStr">
        <is>
          <t>Brand</t>
        </is>
      </c>
      <c r="D5" s="54" t="inlineStr">
        <is>
          <t>Decolure</t>
        </is>
      </c>
      <c r="K5" s="11" t="inlineStr">
        <is>
          <t>Colours</t>
        </is>
      </c>
      <c r="L5" s="54" t="inlineStr">
        <is>
          <t>Black, Burgundy, Charcoal, Creme, Grey, Light Blue, Light Grey, Light Olive, Light Pink, Midgrey, Navy Blue, Olive, Purple, Sage Green, Taupe, White</t>
        </is>
      </c>
      <c r="S5" s="11" t="inlineStr">
        <is>
          <t>Units last 28 days</t>
        </is>
      </c>
      <c r="T5" s="54" t="inlineStr">
        <is>
          <t>714</t>
        </is>
      </c>
    </row>
    <row r="6" ht="22" customHeight="1">
      <c r="C6" s="11" t="inlineStr">
        <is>
          <t>Marketplace</t>
        </is>
      </c>
      <c r="D6" s="54" t="inlineStr">
        <is>
          <t>Amazon.ca (CA)</t>
        </is>
      </c>
      <c r="K6" s="11" t="inlineStr">
        <is>
          <t>Price now, best child</t>
        </is>
      </c>
      <c r="L6" s="54" t="inlineStr">
        <is>
          <t>$99.99 (Helium 10 Xray (Amazon.ca, CAD), 2026-10-14)</t>
        </is>
      </c>
      <c r="S6" s="11" t="inlineStr">
        <is>
          <t>Command Center product ASIN</t>
        </is>
      </c>
      <c r="T6" s="54" t="inlineStr">
        <is>
          <t>B0CQ31D5FM (one of our child ASINs, not the Amazon parent)</t>
        </is>
      </c>
    </row>
    <row r="7" ht="22" customHeight="1">
      <c r="C7" s="11" t="inlineStr">
        <is>
          <t>Parent ASIN (Amazon)</t>
        </is>
      </c>
      <c r="D7" s="54" t="inlineStr">
        <is>
          <t>B0D71YJYNL</t>
        </is>
      </c>
      <c r="K7" s="11" t="inlineStr">
        <is>
          <t>Rating / reviews now</t>
        </is>
      </c>
      <c r="L7" s="54" t="inlineStr">
        <is>
          <t>4.4 / 3,337 (Helium 10 Xray (Amazon.ca, CAD), 2026-10-14)</t>
        </is>
      </c>
    </row>
    <row r="8" ht="22" customHeight="1">
      <c r="C8" s="11" t="inlineStr">
        <is>
          <t>Best-selling child ASIN</t>
        </is>
      </c>
      <c r="D8" s="54" t="inlineStr">
        <is>
          <t>B0CQ3178D7</t>
        </is>
      </c>
      <c r="K8" s="11" t="inlineStr">
        <is>
          <t>Live prices held</t>
        </is>
      </c>
      <c r="L8" s="54" t="inlineStr">
        <is>
          <t>74 of 81 variations</t>
        </is>
      </c>
    </row>
    <row r="9" ht="22" customHeight="1">
      <c r="C9" s="11" t="inlineStr">
        <is>
          <t>Stage</t>
        </is>
      </c>
      <c r="D9" s="54" t="inlineStr">
        <is>
          <t>Re-Launch</t>
        </is>
      </c>
      <c r="K9" s="11" t="inlineStr">
        <is>
          <t>Blended price (Command Center)</t>
        </is>
      </c>
      <c r="L9" s="54" t="inlineStr">
        <is>
          <t>$92.62 - fee feed as of 2026-03-30, STALE</t>
        </is>
      </c>
    </row>
    <row r="10">
      <c r="C10" s="11" t="inlineStr">
        <is>
          <t>Total variations (SKUs)</t>
        </is>
      </c>
      <c r="D10" s="54" t="n">
        <v>80</v>
      </c>
      <c r="K10" s="11" t="inlineStr">
        <is>
          <t>Contribution / unit</t>
        </is>
      </c>
      <c r="L10" s="54" t="inlineStr">
        <is>
          <t>$35.16</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STRIKETHROUGH SHOWN</t>
        </is>
      </c>
    </row>
    <row r="12" ht="24" customHeight="1">
      <c r="A12" s="56" t="inlineStr">
        <is>
          <t>3.07x</t>
        </is>
      </c>
      <c r="E12" s="56" t="inlineStr">
        <is>
          <t>6.1%</t>
        </is>
      </c>
      <c r="I12" s="56" t="inlineStr">
        <is>
          <t>1.27x</t>
        </is>
      </c>
      <c r="M12" s="56" t="inlineStr">
        <is>
          <t>8</t>
        </is>
      </c>
      <c r="Q12" s="56" t="inlineStr">
        <is>
          <t>1</t>
        </is>
      </c>
      <c r="U12" s="56" t="inlineStr">
        <is>
          <t>0 of 8</t>
        </is>
      </c>
    </row>
    <row r="13">
      <c r="A13" s="57" t="inlineStr">
        <is>
          <t>daily sales, BFCM wk vs 30 days before (SellerBoard actual)</t>
        </is>
      </c>
      <c r="E13" s="57" t="inlineStr">
        <is>
          <t>vs 12.5% before</t>
        </is>
      </c>
      <c r="I13" s="57" t="inlineStr">
        <is>
          <t>December daily sales vs Oct 21-Nov 19</t>
        </is>
      </c>
      <c r="M13" s="57" t="inlineStr">
        <is>
          <t>Amazon.ca page research</t>
        </is>
      </c>
      <c r="Q13" s="57" t="inlineStr">
        <is>
          <t>same size, else vs our Queen</t>
        </is>
      </c>
      <c r="U13" s="57" t="inlineStr">
        <is>
          <t>on the Amazon.ca page, Oct 13</t>
        </is>
      </c>
    </row>
    <row r="15" ht="20" customHeight="1">
      <c r="A15" s="53" t="inlineStr">
        <is>
          <t>2 · OUR VARIATIONS (81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59" t="n">
        <v>99.98999999999999</v>
      </c>
      <c r="H18" s="32" t="inlineStr">
        <is>
          <t>Helium 10 Xray (Amazon.ca, CAD), 2026-10-14</t>
        </is>
      </c>
      <c r="I18" s="60" t="n">
        <v>99.98999999999999</v>
      </c>
      <c r="J18" s="61" t="inlineStr">
        <is>
          <t>2026-03-30</t>
        </is>
      </c>
      <c r="K18" s="33" t="n">
        <v>33.13999999999999</v>
      </c>
      <c r="L18" s="62" t="n">
        <v>0.3314331433143314</v>
      </c>
      <c r="M18" s="63" t="n">
        <v>66</v>
      </c>
      <c r="N18" s="32" t="inlineStr">
        <is>
          <t>Active</t>
        </is>
      </c>
      <c r="O18" s="32" t="n"/>
      <c r="P18" s="64" t="n">
        <v>4.4</v>
      </c>
      <c r="Q18" s="63" t="n">
        <v>3337</v>
      </c>
      <c r="R18" s="63" t="n">
        <v>2074</v>
      </c>
      <c r="S18" s="63"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59" t="n">
        <v>99.98999999999999</v>
      </c>
      <c r="H19" s="32" t="inlineStr">
        <is>
          <t>Helium 10 Xray (Amazon.ca, CAD), 2026-10-14</t>
        </is>
      </c>
      <c r="I19" s="60" t="n">
        <v>117.12</v>
      </c>
      <c r="J19" s="61" t="inlineStr">
        <is>
          <t>2026-03-30</t>
        </is>
      </c>
      <c r="K19" s="33" t="n">
        <v>48.98000000000001</v>
      </c>
      <c r="L19" s="62" t="n">
        <v>0.4182035519125684</v>
      </c>
      <c r="M19" s="63" t="n">
        <v>58</v>
      </c>
      <c r="N19" s="32" t="inlineStr">
        <is>
          <t>Active</t>
        </is>
      </c>
      <c r="O19" s="32" t="n"/>
      <c r="P19" s="64" t="n">
        <v>4.4</v>
      </c>
      <c r="Q19" s="63" t="n">
        <v>3337</v>
      </c>
      <c r="R19" s="63" t="n">
        <v>2072</v>
      </c>
      <c r="S19" s="63"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59" t="n">
        <v>99.98999999999999</v>
      </c>
      <c r="H20" s="32" t="inlineStr">
        <is>
          <t>Helium 10 Xray (Amazon.ca, CAD), 2026-10-14</t>
        </is>
      </c>
      <c r="I20" s="60" t="n">
        <v>114.72</v>
      </c>
      <c r="J20" s="61" t="inlineStr">
        <is>
          <t>2026-03-30</t>
        </is>
      </c>
      <c r="K20" s="33" t="n">
        <v>58.2</v>
      </c>
      <c r="L20" s="62" t="n">
        <v>0.5073221757322175</v>
      </c>
      <c r="M20" s="63" t="n">
        <v>45</v>
      </c>
      <c r="N20" s="32" t="inlineStr">
        <is>
          <t>Active</t>
        </is>
      </c>
      <c r="O20" s="32" t="n"/>
      <c r="P20" s="64" t="n">
        <v>4.4</v>
      </c>
      <c r="Q20" s="63" t="n">
        <v>3337</v>
      </c>
      <c r="R20" s="63" t="n">
        <v>2072</v>
      </c>
      <c r="S20" s="63"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59" t="n">
        <v>99.98999999999999</v>
      </c>
      <c r="H21" s="32" t="inlineStr">
        <is>
          <t>Helium 10 Xray (Amazon.ca, CAD), 2026-10-14</t>
        </is>
      </c>
      <c r="I21" s="60" t="n">
        <v>117.12</v>
      </c>
      <c r="J21" s="61" t="inlineStr">
        <is>
          <t>2026-03-06</t>
        </is>
      </c>
      <c r="K21" s="33" t="n">
        <v>55.3</v>
      </c>
      <c r="L21" s="62" t="n">
        <v>0.4721653005464481</v>
      </c>
      <c r="M21" s="63" t="n">
        <v>41</v>
      </c>
      <c r="N21" s="32" t="inlineStr">
        <is>
          <t>Active</t>
        </is>
      </c>
      <c r="O21" s="32" t="n"/>
      <c r="P21" s="64" t="n">
        <v>4.4</v>
      </c>
      <c r="Q21" s="63" t="n">
        <v>3337</v>
      </c>
      <c r="R21" s="63" t="n">
        <v>2074</v>
      </c>
      <c r="S21" s="63"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59" t="n">
        <v>99.98999999999999</v>
      </c>
      <c r="H22" s="32" t="inlineStr">
        <is>
          <t>Helium 10 Xray (Amazon.ca, CAD), 2026-10-14</t>
        </is>
      </c>
      <c r="I22" s="60" t="n">
        <v>99.98999999999999</v>
      </c>
      <c r="J22" s="61" t="inlineStr">
        <is>
          <t>2026-03-30</t>
        </is>
      </c>
      <c r="K22" s="33" t="n">
        <v>46.77999999999999</v>
      </c>
      <c r="L22" s="62" t="n">
        <v>0.4678467846784677</v>
      </c>
      <c r="M22" s="63" t="n">
        <v>33</v>
      </c>
      <c r="N22" s="32" t="inlineStr">
        <is>
          <t>Active</t>
        </is>
      </c>
      <c r="O22" s="32" t="n"/>
      <c r="P22" s="64" t="n">
        <v>4.4</v>
      </c>
      <c r="Q22" s="63" t="n">
        <v>3337</v>
      </c>
      <c r="R22" s="63" t="n">
        <v>2072</v>
      </c>
      <c r="S22" s="63"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59" t="n">
        <v>99.98999999999999</v>
      </c>
      <c r="H23" s="32" t="inlineStr">
        <is>
          <t>Helium 10 Xray (Amazon.ca, CAD), 2026-10-14</t>
        </is>
      </c>
      <c r="I23" s="60" t="n">
        <v>76.48999999999999</v>
      </c>
      <c r="J23" s="61" t="inlineStr">
        <is>
          <t>2026-03-30</t>
        </is>
      </c>
      <c r="K23" s="33" t="n">
        <v>20.02</v>
      </c>
      <c r="L23" s="62" t="n">
        <v>0.2617335599424761</v>
      </c>
      <c r="M23" s="63" t="n">
        <v>30</v>
      </c>
      <c r="N23" s="32" t="inlineStr">
        <is>
          <t>Active</t>
        </is>
      </c>
      <c r="O23" s="32" t="n"/>
      <c r="P23" s="64" t="n">
        <v>4.4</v>
      </c>
      <c r="Q23" s="63" t="n">
        <v>3337</v>
      </c>
      <c r="R23" s="63" t="n">
        <v>2074</v>
      </c>
      <c r="S23" s="63"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59" t="n">
        <v>79.98999999999999</v>
      </c>
      <c r="H24" s="32" t="inlineStr">
        <is>
          <t>Helium 10 Xray (Amazon.ca, CAD), 2026-10-14</t>
        </is>
      </c>
      <c r="I24" s="60" t="n">
        <v>76.48</v>
      </c>
      <c r="J24" s="61" t="inlineStr">
        <is>
          <t>2026-03-30</t>
        </is>
      </c>
      <c r="K24" s="33" t="n">
        <v>22.57</v>
      </c>
      <c r="L24" s="62" t="n">
        <v>0.2951098326359833</v>
      </c>
      <c r="M24" s="63" t="n">
        <v>27</v>
      </c>
      <c r="N24" s="32" t="inlineStr">
        <is>
          <t>Active</t>
        </is>
      </c>
      <c r="O24" s="32" t="n"/>
      <c r="P24" s="64" t="n">
        <v>4.4</v>
      </c>
      <c r="Q24" s="63" t="n">
        <v>3337</v>
      </c>
      <c r="R24" s="63" t="n">
        <v>2074</v>
      </c>
      <c r="S24" s="63"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59" t="n">
        <v>99.98999999999999</v>
      </c>
      <c r="H25" s="32" t="inlineStr">
        <is>
          <t>Helium 10 Xray (Amazon.ca, CAD), 2026-10-14</t>
        </is>
      </c>
      <c r="I25" s="60" t="n">
        <v>99.98999999999999</v>
      </c>
      <c r="J25" s="61" t="inlineStr">
        <is>
          <t>2026-03-30</t>
        </is>
      </c>
      <c r="K25" s="33" t="n">
        <v>44.55</v>
      </c>
      <c r="L25" s="62" t="n">
        <v>0.4455445544554456</v>
      </c>
      <c r="M25" s="63" t="n">
        <v>27</v>
      </c>
      <c r="N25" s="32" t="inlineStr">
        <is>
          <t>Active</t>
        </is>
      </c>
      <c r="O25" s="32" t="n"/>
      <c r="P25" s="64" t="n">
        <v>4.4</v>
      </c>
      <c r="Q25" s="63" t="n">
        <v>3337</v>
      </c>
      <c r="R25" s="63" t="n">
        <v>2074</v>
      </c>
      <c r="S25" s="63"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59" t="n">
        <v>99.98999999999999</v>
      </c>
      <c r="H26" s="32" t="inlineStr">
        <is>
          <t>Helium 10 Xray (Amazon.ca, CAD), 2026-10-14</t>
        </is>
      </c>
      <c r="I26" s="60" t="n">
        <v>76.48999999999999</v>
      </c>
      <c r="J26" s="61" t="inlineStr">
        <is>
          <t>2026-03-30</t>
        </is>
      </c>
      <c r="K26" s="33" t="n">
        <v>25.83</v>
      </c>
      <c r="L26" s="62" t="n">
        <v>0.3376912014642437</v>
      </c>
      <c r="M26" s="63" t="n">
        <v>26</v>
      </c>
      <c r="N26" s="32" t="inlineStr">
        <is>
          <t>Active</t>
        </is>
      </c>
      <c r="O26" s="32" t="n"/>
      <c r="P26" s="64" t="n">
        <v>4.4</v>
      </c>
      <c r="Q26" s="63" t="n">
        <v>3337</v>
      </c>
      <c r="R26" s="63" t="n">
        <v>2074</v>
      </c>
      <c r="S26" s="63"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59" t="n">
        <v>99.98999999999999</v>
      </c>
      <c r="H27" s="32" t="inlineStr">
        <is>
          <t>Helium 10 Xray (Amazon.ca, CAD), 2026-10-14</t>
        </is>
      </c>
      <c r="I27" s="60" t="n">
        <v>79.98999999999999</v>
      </c>
      <c r="J27" s="61" t="inlineStr">
        <is>
          <t>2026-03-30</t>
        </is>
      </c>
      <c r="K27" s="33" t="n">
        <v>28.78999999999999</v>
      </c>
      <c r="L27" s="62" t="n">
        <v>0.3599199899987497</v>
      </c>
      <c r="M27" s="63" t="n">
        <v>26</v>
      </c>
      <c r="N27" s="32" t="inlineStr">
        <is>
          <t>Active</t>
        </is>
      </c>
      <c r="O27" s="32" t="n"/>
      <c r="P27" s="64" t="n">
        <v>4.4</v>
      </c>
      <c r="Q27" s="63" t="n">
        <v>3337</v>
      </c>
      <c r="R27" s="63" t="n">
        <v>2074</v>
      </c>
      <c r="S27" s="63"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59" t="n">
        <v>99.98999999999999</v>
      </c>
      <c r="H28" s="32" t="inlineStr">
        <is>
          <t>Helium 10 Xray (Amazon.ca, CAD), 2026-10-14</t>
        </is>
      </c>
      <c r="I28" s="60" t="n">
        <v>99.98999999999999</v>
      </c>
      <c r="J28" s="61" t="inlineStr">
        <is>
          <t>2026-03-30</t>
        </is>
      </c>
      <c r="K28" s="33" t="n">
        <v>39.91999999999999</v>
      </c>
      <c r="L28" s="62" t="n">
        <v>0.3992399239923992</v>
      </c>
      <c r="M28" s="63" t="n">
        <v>25</v>
      </c>
      <c r="N28" s="32" t="inlineStr">
        <is>
          <t>Active</t>
        </is>
      </c>
      <c r="O28" s="32" t="n"/>
      <c r="P28" s="64" t="n">
        <v>4.4</v>
      </c>
      <c r="Q28" s="63" t="n">
        <v>3337</v>
      </c>
      <c r="R28" s="63" t="n">
        <v>2074</v>
      </c>
      <c r="S28" s="63"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59" t="n">
        <v>99.98999999999999</v>
      </c>
      <c r="H29" s="32" t="inlineStr">
        <is>
          <t>Helium 10 Xray (Amazon.ca, CAD), 2026-10-14</t>
        </is>
      </c>
      <c r="I29" s="60" t="n">
        <v>76.48999999999999</v>
      </c>
      <c r="J29" s="61" t="inlineStr">
        <is>
          <t>2026-03-30</t>
        </is>
      </c>
      <c r="K29" s="33" t="n">
        <v>25.94</v>
      </c>
      <c r="L29" s="62" t="n">
        <v>0.3391292979474441</v>
      </c>
      <c r="M29" s="63" t="n">
        <v>25</v>
      </c>
      <c r="N29" s="32" t="inlineStr">
        <is>
          <t>Active</t>
        </is>
      </c>
      <c r="O29" s="32" t="n"/>
      <c r="P29" s="64" t="n">
        <v>4.4</v>
      </c>
      <c r="Q29" s="63" t="n">
        <v>3337</v>
      </c>
      <c r="R29" s="63" t="n">
        <v>2074</v>
      </c>
      <c r="S29" s="63"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59" t="n">
        <v>99.98999999999999</v>
      </c>
      <c r="H30" s="32" t="inlineStr">
        <is>
          <t>Helium 10 Xray (Amazon.ca, CAD), 2026-10-14</t>
        </is>
      </c>
      <c r="I30" s="33" t="n"/>
      <c r="J30" s="32" t="n"/>
      <c r="K30" s="33" t="n"/>
      <c r="L30" s="62" t="n"/>
      <c r="M30" s="63" t="n">
        <v>23</v>
      </c>
      <c r="N30" s="32" t="inlineStr">
        <is>
          <t>Active</t>
        </is>
      </c>
      <c r="O30" s="32" t="n"/>
      <c r="P30" s="64" t="n">
        <v>4.4</v>
      </c>
      <c r="Q30" s="63" t="n">
        <v>3337</v>
      </c>
      <c r="R30" s="63" t="n">
        <v>2074</v>
      </c>
      <c r="S30" s="63"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59" t="n">
        <v>99.98999999999999</v>
      </c>
      <c r="H31" s="32" t="inlineStr">
        <is>
          <t>Helium 10 Xray (Amazon.ca, CAD), 2026-10-14</t>
        </is>
      </c>
      <c r="I31" s="60" t="n">
        <v>79.98999999999999</v>
      </c>
      <c r="J31" s="61" t="inlineStr">
        <is>
          <t>2026-03-30</t>
        </is>
      </c>
      <c r="K31" s="33" t="n">
        <v>23.09</v>
      </c>
      <c r="L31" s="62" t="n">
        <v>0.2886610826353294</v>
      </c>
      <c r="M31" s="63" t="n">
        <v>22</v>
      </c>
      <c r="N31" s="32" t="inlineStr">
        <is>
          <t>Active</t>
        </is>
      </c>
      <c r="O31" s="32" t="n"/>
      <c r="P31" s="64" t="n">
        <v>4.4</v>
      </c>
      <c r="Q31" s="63" t="n">
        <v>3337</v>
      </c>
      <c r="R31" s="63" t="n">
        <v>2074</v>
      </c>
      <c r="S31" s="63"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59" t="n">
        <v>99.98999999999999</v>
      </c>
      <c r="H32" s="32" t="inlineStr">
        <is>
          <t>Helium 10 Xray (Amazon.ca, CAD), 2026-10-14</t>
        </is>
      </c>
      <c r="I32" s="60" t="n">
        <v>94.93000000000001</v>
      </c>
      <c r="J32" s="61" t="inlineStr">
        <is>
          <t>2026-03-30</t>
        </is>
      </c>
      <c r="K32" s="33" t="n">
        <v>36.66000000000001</v>
      </c>
      <c r="L32" s="62" t="n">
        <v>0.3861792900031603</v>
      </c>
      <c r="M32" s="63" t="n">
        <v>21</v>
      </c>
      <c r="N32" s="32" t="inlineStr">
        <is>
          <t>Active</t>
        </is>
      </c>
      <c r="O32" s="32" t="n"/>
      <c r="P32" s="64" t="n">
        <v>4.4</v>
      </c>
      <c r="Q32" s="63" t="n">
        <v>3337</v>
      </c>
      <c r="R32" s="63" t="n">
        <v>2074</v>
      </c>
      <c r="S32" s="63"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59" t="n">
        <v>99.98999999999999</v>
      </c>
      <c r="H33" s="32" t="inlineStr">
        <is>
          <t>Helium 10 Xray (Amazon.ca, CAD), 2026-10-14</t>
        </is>
      </c>
      <c r="I33" s="60" t="n">
        <v>76.48999999999999</v>
      </c>
      <c r="J33" s="61" t="inlineStr">
        <is>
          <t>2026-03-30</t>
        </is>
      </c>
      <c r="K33" s="33" t="n">
        <v>19.31</v>
      </c>
      <c r="L33" s="62" t="n">
        <v>0.252451300823637</v>
      </c>
      <c r="M33" s="63" t="n">
        <v>18</v>
      </c>
      <c r="N33" s="32" t="inlineStr">
        <is>
          <t>Active</t>
        </is>
      </c>
      <c r="O33" s="32" t="n"/>
      <c r="P33" s="64" t="n">
        <v>4.4</v>
      </c>
      <c r="Q33" s="63" t="n">
        <v>3337</v>
      </c>
      <c r="R33" s="63" t="n">
        <v>2074</v>
      </c>
      <c r="S33" s="63"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59" t="n">
        <v>99.98999999999999</v>
      </c>
      <c r="H34" s="32" t="inlineStr">
        <is>
          <t>Helium 10 Xray (Amazon.ca, CAD), 2026-10-14</t>
        </is>
      </c>
      <c r="I34" s="60" t="n">
        <v>99.98999999999999</v>
      </c>
      <c r="J34" s="61" t="inlineStr">
        <is>
          <t>2026-03-30</t>
        </is>
      </c>
      <c r="K34" s="33" t="n">
        <v>39.84999999999999</v>
      </c>
      <c r="L34" s="62" t="n">
        <v>0.3985398539853985</v>
      </c>
      <c r="M34" s="63" t="n">
        <v>16</v>
      </c>
      <c r="N34" s="32" t="inlineStr">
        <is>
          <t>Active</t>
        </is>
      </c>
      <c r="O34" s="32" t="n"/>
      <c r="P34" s="64" t="n">
        <v>4.4</v>
      </c>
      <c r="Q34" s="63" t="n">
        <v>3337</v>
      </c>
      <c r="R34" s="63" t="n">
        <v>2074</v>
      </c>
      <c r="S34" s="63"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59" t="n">
        <v>99.98999999999999</v>
      </c>
      <c r="H35" s="32" t="inlineStr">
        <is>
          <t>Helium 10 Xray (Amazon.ca, CAD), 2026-10-14</t>
        </is>
      </c>
      <c r="I35" s="60" t="n">
        <v>115.22</v>
      </c>
      <c r="J35" s="61" t="inlineStr">
        <is>
          <t>2026-03-30</t>
        </is>
      </c>
      <c r="K35" s="33" t="n">
        <v>53.31</v>
      </c>
      <c r="L35" s="62" t="n">
        <v>0.4626800902621073</v>
      </c>
      <c r="M35" s="63" t="n">
        <v>15</v>
      </c>
      <c r="N35" s="32" t="inlineStr">
        <is>
          <t>Active</t>
        </is>
      </c>
      <c r="O35" s="32" t="n"/>
      <c r="P35" s="64" t="n">
        <v>4.4</v>
      </c>
      <c r="Q35" s="63" t="n">
        <v>3337</v>
      </c>
      <c r="R35" s="63" t="n">
        <v>2074</v>
      </c>
      <c r="S35" s="63"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59" t="n">
        <v>99.98999999999999</v>
      </c>
      <c r="H36" s="32" t="inlineStr">
        <is>
          <t>Helium 10 Xray (Amazon.ca, CAD), 2026-10-14</t>
        </is>
      </c>
      <c r="I36" s="60" t="n">
        <v>94</v>
      </c>
      <c r="J36" s="61" t="inlineStr">
        <is>
          <t>2026-03-30</t>
        </is>
      </c>
      <c r="K36" s="33" t="n">
        <v>35.37</v>
      </c>
      <c r="L36" s="62" t="n">
        <v>0.3762765957446809</v>
      </c>
      <c r="M36" s="63" t="n">
        <v>14</v>
      </c>
      <c r="N36" s="32" t="inlineStr">
        <is>
          <t>Active</t>
        </is>
      </c>
      <c r="O36" s="32" t="n"/>
      <c r="P36" s="64" t="n">
        <v>4.4</v>
      </c>
      <c r="Q36" s="63" t="n">
        <v>3337</v>
      </c>
      <c r="R36" s="63" t="n">
        <v>2074</v>
      </c>
      <c r="S36" s="63"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59" t="n">
        <v>79.98999999999999</v>
      </c>
      <c r="H37" s="32" t="inlineStr">
        <is>
          <t>Helium 10 Xray (Amazon.ca, CAD), 2026-10-14</t>
        </is>
      </c>
      <c r="I37" s="60" t="n">
        <v>59.49</v>
      </c>
      <c r="J37" s="61" t="inlineStr">
        <is>
          <t>2026-03-30</t>
        </is>
      </c>
      <c r="K37" s="33" t="n">
        <v>11.72</v>
      </c>
      <c r="L37" s="62" t="n">
        <v>0.1970079004874769</v>
      </c>
      <c r="M37" s="63" t="n">
        <v>13</v>
      </c>
      <c r="N37" s="32" t="inlineStr">
        <is>
          <t>Active</t>
        </is>
      </c>
      <c r="O37" s="32" t="n"/>
      <c r="P37" s="64" t="n">
        <v>4.4</v>
      </c>
      <c r="Q37" s="63" t="n">
        <v>3337</v>
      </c>
      <c r="R37" s="63" t="n">
        <v>2074</v>
      </c>
      <c r="S37" s="63"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59" t="n">
        <v>99.98999999999999</v>
      </c>
      <c r="H38" s="32" t="inlineStr">
        <is>
          <t>Helium 10 Xray (Amazon.ca, CAD), 2026-10-14</t>
        </is>
      </c>
      <c r="I38" s="60" t="n">
        <v>79.98999999999999</v>
      </c>
      <c r="J38" s="61" t="inlineStr">
        <is>
          <t>2026-03-22</t>
        </is>
      </c>
      <c r="K38" s="33" t="n">
        <v>23.54</v>
      </c>
      <c r="L38" s="62" t="n">
        <v>0.294286785848231</v>
      </c>
      <c r="M38" s="63" t="n">
        <v>12</v>
      </c>
      <c r="N38" s="32" t="inlineStr">
        <is>
          <t>Active</t>
        </is>
      </c>
      <c r="O38" s="32" t="n"/>
      <c r="P38" s="64" t="n">
        <v>4.4</v>
      </c>
      <c r="Q38" s="63" t="n">
        <v>3337</v>
      </c>
      <c r="R38" s="63" t="n">
        <v>2074</v>
      </c>
      <c r="S38" s="63"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59" t="n">
        <v>99.98999999999999</v>
      </c>
      <c r="H39" s="32" t="inlineStr">
        <is>
          <t>Helium 10 Xray (Amazon.ca, CAD), 2026-10-14</t>
        </is>
      </c>
      <c r="I39" s="60" t="n">
        <v>99.98999999999999</v>
      </c>
      <c r="J39" s="61" t="inlineStr">
        <is>
          <t>2026-03-30</t>
        </is>
      </c>
      <c r="K39" s="33" t="n">
        <v>46.10999999999999</v>
      </c>
      <c r="L39" s="62" t="n">
        <v>0.461146114611461</v>
      </c>
      <c r="M39" s="63" t="n">
        <v>12</v>
      </c>
      <c r="N39" s="32" t="inlineStr">
        <is>
          <t>Active</t>
        </is>
      </c>
      <c r="O39" s="32" t="n"/>
      <c r="P39" s="64" t="n">
        <v>4.4</v>
      </c>
      <c r="Q39" s="63" t="n">
        <v>3337</v>
      </c>
      <c r="R39" s="63" t="n">
        <v>2074</v>
      </c>
      <c r="S39" s="63"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59" t="n">
        <v>79.98999999999999</v>
      </c>
      <c r="H40" s="32" t="inlineStr">
        <is>
          <t>Helium 10 Xray (Amazon.ca, CAD), 2026-10-14</t>
        </is>
      </c>
      <c r="I40" s="60" t="n">
        <v>59.49</v>
      </c>
      <c r="J40" s="61" t="inlineStr">
        <is>
          <t>2026-03-30</t>
        </is>
      </c>
      <c r="K40" s="33" t="n">
        <v>13.68</v>
      </c>
      <c r="L40" s="62" t="n">
        <v>0.2299546142208775</v>
      </c>
      <c r="M40" s="63" t="n">
        <v>11</v>
      </c>
      <c r="N40" s="32" t="inlineStr">
        <is>
          <t>Active</t>
        </is>
      </c>
      <c r="O40" s="32" t="n"/>
      <c r="P40" s="64" t="n">
        <v>4.4</v>
      </c>
      <c r="Q40" s="63" t="n">
        <v>3337</v>
      </c>
      <c r="R40" s="63" t="n">
        <v>2074</v>
      </c>
      <c r="S40" s="63"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59" t="n">
        <v>99.98999999999999</v>
      </c>
      <c r="H41" s="32" t="inlineStr">
        <is>
          <t>Helium 10 Xray (Amazon.ca, CAD), 2026-10-14</t>
        </is>
      </c>
      <c r="I41" s="60" t="n">
        <v>80.98999999999999</v>
      </c>
      <c r="J41" s="61" t="inlineStr">
        <is>
          <t>2026-03-30</t>
        </is>
      </c>
      <c r="K41" s="33" t="n">
        <v>23.08999999999999</v>
      </c>
      <c r="L41" s="62" t="n">
        <v>0.2850969255463636</v>
      </c>
      <c r="M41" s="63" t="n">
        <v>11</v>
      </c>
      <c r="N41" s="32" t="inlineStr">
        <is>
          <t>Active</t>
        </is>
      </c>
      <c r="O41" s="32" t="n"/>
      <c r="P41" s="64" t="n">
        <v>4.4</v>
      </c>
      <c r="Q41" s="63" t="n">
        <v>3337</v>
      </c>
      <c r="R41" s="63" t="n">
        <v>2074</v>
      </c>
      <c r="S41" s="63"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59" t="n">
        <v>99.98999999999999</v>
      </c>
      <c r="H42" s="32" t="inlineStr">
        <is>
          <t>Helium 10 Xray (Amazon.ca, CAD), 2026-10-14</t>
        </is>
      </c>
      <c r="I42" s="60" t="n">
        <v>79.98999999999999</v>
      </c>
      <c r="J42" s="61" t="inlineStr">
        <is>
          <t>2026-03-30</t>
        </is>
      </c>
      <c r="K42" s="33" t="n">
        <v>29.14</v>
      </c>
      <c r="L42" s="62" t="n">
        <v>0.3642955369421179</v>
      </c>
      <c r="M42" s="63" t="n">
        <v>11</v>
      </c>
      <c r="N42" s="32" t="inlineStr">
        <is>
          <t>Active</t>
        </is>
      </c>
      <c r="O42" s="32" t="n"/>
      <c r="P42" s="64" t="n">
        <v>4.4</v>
      </c>
      <c r="Q42" s="63" t="n">
        <v>3337</v>
      </c>
      <c r="R42" s="63" t="n">
        <v>2074</v>
      </c>
      <c r="S42" s="63"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59" t="n">
        <v>99.98999999999999</v>
      </c>
      <c r="H43" s="32" t="inlineStr">
        <is>
          <t>Helium 10 Xray (Amazon.ca, CAD), 2026-10-14</t>
        </is>
      </c>
      <c r="I43" s="60" t="n">
        <v>99.98999999999999</v>
      </c>
      <c r="J43" s="61" t="inlineStr">
        <is>
          <t>2026-03-30</t>
        </is>
      </c>
      <c r="K43" s="33" t="n">
        <v>39.81999999999999</v>
      </c>
      <c r="L43" s="62" t="n">
        <v>0.3982398239823982</v>
      </c>
      <c r="M43" s="63" t="n">
        <v>9</v>
      </c>
      <c r="N43" s="32" t="inlineStr">
        <is>
          <t>Active</t>
        </is>
      </c>
      <c r="O43" s="32" t="n"/>
      <c r="P43" s="64" t="n">
        <v>4.4</v>
      </c>
      <c r="Q43" s="63" t="n">
        <v>3337</v>
      </c>
      <c r="R43" s="63" t="n">
        <v>2074</v>
      </c>
      <c r="S43" s="63"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59" t="n">
        <v>99.98999999999999</v>
      </c>
      <c r="H44" s="32" t="inlineStr">
        <is>
          <t>Helium 10 Xray (Amazon.ca, CAD), 2026-10-14</t>
        </is>
      </c>
      <c r="I44" s="60" t="n">
        <v>79.98999999999999</v>
      </c>
      <c r="J44" s="61" t="inlineStr">
        <is>
          <t>2026-03-30</t>
        </is>
      </c>
      <c r="K44" s="33" t="n">
        <v>28.83999999999999</v>
      </c>
      <c r="L44" s="62" t="n">
        <v>0.3605450681335166</v>
      </c>
      <c r="M44" s="63" t="n">
        <v>9</v>
      </c>
      <c r="N44" s="32" t="inlineStr">
        <is>
          <t>Active</t>
        </is>
      </c>
      <c r="O44" s="32" t="n"/>
      <c r="P44" s="64" t="n">
        <v>4.4</v>
      </c>
      <c r="Q44" s="63" t="n">
        <v>3337</v>
      </c>
      <c r="R44" s="63" t="n">
        <v>2072</v>
      </c>
      <c r="S44" s="63"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59" t="n">
        <v>99.98999999999999</v>
      </c>
      <c r="H45" s="32" t="inlineStr">
        <is>
          <t>Helium 10 Xray (Amazon.ca, CAD), 2026-10-14</t>
        </is>
      </c>
      <c r="I45" s="60" t="n">
        <v>63.74</v>
      </c>
      <c r="J45" s="61" t="inlineStr">
        <is>
          <t>2026-03-22</t>
        </is>
      </c>
      <c r="K45" s="33" t="n">
        <v>9.449999999999996</v>
      </c>
      <c r="L45" s="62" t="n">
        <v>0.1482585503608408</v>
      </c>
      <c r="M45" s="63" t="n">
        <v>8</v>
      </c>
      <c r="N45" s="32" t="inlineStr">
        <is>
          <t>Active</t>
        </is>
      </c>
      <c r="O45" s="32" t="n"/>
      <c r="P45" s="64" t="n">
        <v>4.4</v>
      </c>
      <c r="Q45" s="63" t="n">
        <v>3337</v>
      </c>
      <c r="R45" s="63" t="n">
        <v>2074</v>
      </c>
      <c r="S45" s="63"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59" t="n">
        <v>79.98999999999999</v>
      </c>
      <c r="H46" s="32" t="inlineStr">
        <is>
          <t>Helium 10 Xray (Amazon.ca, CAD), 2026-10-14</t>
        </is>
      </c>
      <c r="I46" s="60" t="n">
        <v>62.99</v>
      </c>
      <c r="J46" s="61" t="inlineStr">
        <is>
          <t>2026-03-30</t>
        </is>
      </c>
      <c r="K46" s="33" t="n">
        <v>14.69</v>
      </c>
      <c r="L46" s="62" t="n">
        <v>0.2332116208922051</v>
      </c>
      <c r="M46" s="63" t="n">
        <v>6</v>
      </c>
      <c r="N46" s="32" t="inlineStr">
        <is>
          <t>Active</t>
        </is>
      </c>
      <c r="O46" s="32" t="n"/>
      <c r="P46" s="64" t="n">
        <v>4.4</v>
      </c>
      <c r="Q46" s="63" t="n">
        <v>3337</v>
      </c>
      <c r="R46" s="63" t="n">
        <v>2074</v>
      </c>
      <c r="S46" s="63"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59" t="n">
        <v>99.98999999999999</v>
      </c>
      <c r="H47" s="32" t="inlineStr">
        <is>
          <t>Helium 10 Xray (Amazon.ca, CAD), 2026-10-14</t>
        </is>
      </c>
      <c r="I47" s="60" t="n">
        <v>76.48999999999999</v>
      </c>
      <c r="J47" s="61" t="inlineStr">
        <is>
          <t>2026-03-30</t>
        </is>
      </c>
      <c r="K47" s="33" t="n">
        <v>26.34999999999999</v>
      </c>
      <c r="L47" s="62" t="n">
        <v>0.3444894757484638</v>
      </c>
      <c r="M47" s="63" t="n">
        <v>6</v>
      </c>
      <c r="N47" s="32" t="inlineStr">
        <is>
          <t>Active</t>
        </is>
      </c>
      <c r="O47" s="32" t="n"/>
      <c r="P47" s="64" t="n">
        <v>4.4</v>
      </c>
      <c r="Q47" s="63" t="n">
        <v>3337</v>
      </c>
      <c r="R47" s="63" t="n">
        <v>2074</v>
      </c>
      <c r="S47" s="63"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59" t="n">
        <v>99.98999999999999</v>
      </c>
      <c r="H48" s="32" t="inlineStr">
        <is>
          <t>Helium 10 Xray (Amazon.ca, CAD), 2026-10-14</t>
        </is>
      </c>
      <c r="I48" s="60" t="n">
        <v>89.98999999999999</v>
      </c>
      <c r="J48" s="61" t="inlineStr">
        <is>
          <t>2026-03-30</t>
        </is>
      </c>
      <c r="K48" s="33" t="n">
        <v>29.9</v>
      </c>
      <c r="L48" s="62" t="n">
        <v>0.3322591399044338</v>
      </c>
      <c r="M48" s="63" t="n">
        <v>4</v>
      </c>
      <c r="N48" s="32" t="inlineStr">
        <is>
          <t>Active</t>
        </is>
      </c>
      <c r="O48" s="32" t="n"/>
      <c r="P48" s="64" t="n">
        <v>4.4</v>
      </c>
      <c r="Q48" s="63" t="n">
        <v>3337</v>
      </c>
      <c r="R48" s="63" t="n">
        <v>2074</v>
      </c>
      <c r="S48" s="63"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59" t="n">
        <v>99.98999999999999</v>
      </c>
      <c r="H49" s="32" t="inlineStr">
        <is>
          <t>Helium 10 Xray (Amazon.ca, CAD), 2026-10-14</t>
        </is>
      </c>
      <c r="I49" s="60" t="n">
        <v>79.98999999999999</v>
      </c>
      <c r="J49" s="61" t="inlineStr">
        <is>
          <t>2026-03-30</t>
        </is>
      </c>
      <c r="K49" s="33" t="n">
        <v>21.89</v>
      </c>
      <c r="L49" s="62" t="n">
        <v>0.2736592074009251</v>
      </c>
      <c r="M49" s="63" t="n">
        <v>4</v>
      </c>
      <c r="N49" s="32" t="inlineStr">
        <is>
          <t>Active</t>
        </is>
      </c>
      <c r="O49" s="32" t="n"/>
      <c r="P49" s="64" t="n">
        <v>4.4</v>
      </c>
      <c r="Q49" s="63" t="n">
        <v>3337</v>
      </c>
      <c r="R49" s="63" t="n">
        <v>2074</v>
      </c>
      <c r="S49" s="63"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59" t="n">
        <v>79.98999999999999</v>
      </c>
      <c r="H50" s="32" t="inlineStr">
        <is>
          <t>Helium 10 Xray (Amazon.ca, CAD), 2026-10-14</t>
        </is>
      </c>
      <c r="I50" s="60" t="n">
        <v>67.98999999999999</v>
      </c>
      <c r="J50" s="61" t="inlineStr">
        <is>
          <t>2026-03-30</t>
        </is>
      </c>
      <c r="K50" s="33" t="n">
        <v>18.75999999999999</v>
      </c>
      <c r="L50" s="62" t="n">
        <v>0.2759229298426238</v>
      </c>
      <c r="M50" s="63" t="n">
        <v>4</v>
      </c>
      <c r="N50" s="32" t="inlineStr">
        <is>
          <t>Inactive</t>
        </is>
      </c>
      <c r="O50" s="32" t="n"/>
      <c r="P50" s="64" t="n">
        <v>4.4</v>
      </c>
      <c r="Q50" s="63" t="n">
        <v>3337</v>
      </c>
      <c r="R50" s="63" t="n">
        <v>2072</v>
      </c>
      <c r="S50" s="63"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59" t="n">
        <v>99.98999999999999</v>
      </c>
      <c r="H51" s="32" t="inlineStr">
        <is>
          <t>Helium 10 Xray (Amazon.ca, CAD), 2026-10-14</t>
        </is>
      </c>
      <c r="I51" s="60" t="n">
        <v>84.98999999999999</v>
      </c>
      <c r="J51" s="61" t="inlineStr">
        <is>
          <t>2026-03-30</t>
        </is>
      </c>
      <c r="K51" s="33" t="n">
        <v>26.74999999999999</v>
      </c>
      <c r="L51" s="62" t="n">
        <v>0.3147429109306977</v>
      </c>
      <c r="M51" s="63" t="n">
        <v>3</v>
      </c>
      <c r="N51" s="32" t="inlineStr">
        <is>
          <t>Active</t>
        </is>
      </c>
      <c r="O51" s="32" t="n"/>
      <c r="P51" s="64" t="n">
        <v>4.4</v>
      </c>
      <c r="Q51" s="63" t="n">
        <v>3337</v>
      </c>
      <c r="R51" s="63" t="n">
        <v>2074</v>
      </c>
      <c r="S51" s="63"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59" t="n">
        <v>79.98999999999999</v>
      </c>
      <c r="H52" s="32" t="inlineStr">
        <is>
          <t>Helium 10 Xray (Amazon.ca, CAD), 2026-10-14</t>
        </is>
      </c>
      <c r="I52" s="60" t="n">
        <v>62.99</v>
      </c>
      <c r="J52" s="61" t="inlineStr">
        <is>
          <t>2026-03-30</t>
        </is>
      </c>
      <c r="K52" s="33" t="n">
        <v>16.91000000000001</v>
      </c>
      <c r="L52" s="62" t="n">
        <v>0.268455310366725</v>
      </c>
      <c r="M52" s="63" t="n">
        <v>3</v>
      </c>
      <c r="N52" s="32" t="inlineStr">
        <is>
          <t>Active</t>
        </is>
      </c>
      <c r="O52" s="32" t="n"/>
      <c r="P52" s="64" t="n">
        <v>4.4</v>
      </c>
      <c r="Q52" s="63" t="n">
        <v>3337</v>
      </c>
      <c r="R52" s="63" t="n">
        <v>2074</v>
      </c>
      <c r="S52" s="63"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59" t="n">
        <v>99.98999999999999</v>
      </c>
      <c r="H53" s="32" t="inlineStr">
        <is>
          <t>Helium 10 Xray (Amazon.ca, CAD), 2026-10-14</t>
        </is>
      </c>
      <c r="I53" s="60" t="n">
        <v>89.98999999999999</v>
      </c>
      <c r="J53" s="61" t="inlineStr">
        <is>
          <t>2026-03-30</t>
        </is>
      </c>
      <c r="K53" s="33" t="n">
        <v>29.71999999999999</v>
      </c>
      <c r="L53" s="62" t="n">
        <v>0.3302589176575175</v>
      </c>
      <c r="M53" s="63" t="n">
        <v>2</v>
      </c>
      <c r="N53" s="32" t="inlineStr">
        <is>
          <t>Active</t>
        </is>
      </c>
      <c r="O53" s="32" t="n"/>
      <c r="P53" s="64" t="n">
        <v>4.4</v>
      </c>
      <c r="Q53" s="63" t="n">
        <v>3337</v>
      </c>
      <c r="R53" s="63" t="n">
        <v>2074</v>
      </c>
      <c r="S53" s="63"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59" t="n">
        <v>99.98999999999999</v>
      </c>
      <c r="H54" s="32" t="inlineStr">
        <is>
          <t>Helium 10 Xray (Amazon.ca, CAD), 2026-10-14</t>
        </is>
      </c>
      <c r="I54" s="60" t="n">
        <v>79.19</v>
      </c>
      <c r="J54" s="61" t="inlineStr">
        <is>
          <t>2026-03-30</t>
        </is>
      </c>
      <c r="K54" s="33" t="n">
        <v>22.09</v>
      </c>
      <c r="L54" s="62" t="n">
        <v>0.2789493622932189</v>
      </c>
      <c r="M54" s="63" t="n">
        <v>2</v>
      </c>
      <c r="N54" s="32" t="inlineStr">
        <is>
          <t>Active</t>
        </is>
      </c>
      <c r="O54" s="32" t="n"/>
      <c r="P54" s="64" t="n">
        <v>4.4</v>
      </c>
      <c r="Q54" s="63" t="n">
        <v>3337</v>
      </c>
      <c r="R54" s="63" t="n">
        <v>2074</v>
      </c>
      <c r="S54" s="63"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59" t="n">
        <v>99.98999999999999</v>
      </c>
      <c r="H55" s="32" t="inlineStr">
        <is>
          <t>Helium 10 Xray (Amazon.ca, CAD), 2026-10-14</t>
        </is>
      </c>
      <c r="I55" s="60" t="n">
        <v>80.98999999999999</v>
      </c>
      <c r="J55" s="61" t="inlineStr">
        <is>
          <t>2026-03-30</t>
        </is>
      </c>
      <c r="K55" s="33" t="n">
        <v>22.51999999999999</v>
      </c>
      <c r="L55" s="62" t="n">
        <v>0.2780590196320532</v>
      </c>
      <c r="M55" s="63" t="n">
        <v>2</v>
      </c>
      <c r="N55" s="32" t="inlineStr">
        <is>
          <t>Active</t>
        </is>
      </c>
      <c r="O55" s="32" t="n"/>
      <c r="P55" s="64" t="n">
        <v>4.4</v>
      </c>
      <c r="Q55" s="63" t="n">
        <v>3337</v>
      </c>
      <c r="R55" s="63" t="n">
        <v>2074</v>
      </c>
      <c r="S55" s="63"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59" t="n">
        <v>99.98999999999999</v>
      </c>
      <c r="H56" s="32" t="inlineStr">
        <is>
          <t>Helium 10 Xray (Amazon.ca, CAD), 2026-10-14</t>
        </is>
      </c>
      <c r="I56" s="60" t="n">
        <v>80.98999999999999</v>
      </c>
      <c r="J56" s="61" t="inlineStr">
        <is>
          <t>2026-03-30</t>
        </is>
      </c>
      <c r="K56" s="33" t="n">
        <v>23.80999999999999</v>
      </c>
      <c r="L56" s="62" t="n">
        <v>0.2939869119644399</v>
      </c>
      <c r="M56" s="63" t="n">
        <v>2</v>
      </c>
      <c r="N56" s="32" t="inlineStr">
        <is>
          <t>Active</t>
        </is>
      </c>
      <c r="O56" s="32" t="n"/>
      <c r="P56" s="64" t="n">
        <v>4.4</v>
      </c>
      <c r="Q56" s="63" t="n">
        <v>3337</v>
      </c>
      <c r="R56" s="63" t="n">
        <v>2074</v>
      </c>
      <c r="S56" s="63"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59" t="n">
        <v>79.98999999999999</v>
      </c>
      <c r="H57" s="32" t="inlineStr">
        <is>
          <t>Helium 10 Xray (Amazon.ca, CAD), 2026-10-14</t>
        </is>
      </c>
      <c r="I57" s="60" t="n">
        <v>76.11</v>
      </c>
      <c r="J57" s="61" t="inlineStr">
        <is>
          <t>2026-03-30</t>
        </is>
      </c>
      <c r="K57" s="33" t="n">
        <v>21.18</v>
      </c>
      <c r="L57" s="62" t="n">
        <v>0.278281434765471</v>
      </c>
      <c r="M57" s="63" t="n">
        <v>2</v>
      </c>
      <c r="N57" s="32" t="inlineStr">
        <is>
          <t>Active</t>
        </is>
      </c>
      <c r="O57" s="32" t="n"/>
      <c r="P57" s="64" t="n">
        <v>4.4</v>
      </c>
      <c r="Q57" s="63" t="n">
        <v>3337</v>
      </c>
      <c r="R57" s="63" t="n">
        <v>2074</v>
      </c>
      <c r="S57" s="63"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59" t="n">
        <v>79.98999999999999</v>
      </c>
      <c r="H58" s="32" t="inlineStr">
        <is>
          <t>Helium 10 Xray (Amazon.ca, CAD), 2026-10-14</t>
        </is>
      </c>
      <c r="I58" s="60" t="n">
        <v>63.99</v>
      </c>
      <c r="J58" s="61" t="inlineStr">
        <is>
          <t>2026-03-22</t>
        </is>
      </c>
      <c r="K58" s="33" t="n">
        <v>17.37</v>
      </c>
      <c r="L58" s="62" t="n">
        <v>0.2714486638537271</v>
      </c>
      <c r="M58" s="63" t="n">
        <v>2</v>
      </c>
      <c r="N58" s="32" t="inlineStr">
        <is>
          <t>Active</t>
        </is>
      </c>
      <c r="O58" s="32" t="n"/>
      <c r="P58" s="64" t="n">
        <v>4.4</v>
      </c>
      <c r="Q58" s="63" t="n">
        <v>3337</v>
      </c>
      <c r="R58" s="63" t="n">
        <v>2074</v>
      </c>
      <c r="S58" s="63"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59" t="n">
        <v>79.98999999999999</v>
      </c>
      <c r="H59" s="32" t="inlineStr">
        <is>
          <t>Helium 10 Xray (Amazon.ca, CAD), 2026-10-14</t>
        </is>
      </c>
      <c r="I59" s="60" t="n">
        <v>79.98999999999999</v>
      </c>
      <c r="J59" s="61" t="inlineStr">
        <is>
          <t>2026-03-18</t>
        </is>
      </c>
      <c r="K59" s="33" t="n">
        <v>29.97</v>
      </c>
      <c r="L59" s="62" t="n">
        <v>0.3746718339792474</v>
      </c>
      <c r="M59" s="63" t="n">
        <v>2</v>
      </c>
      <c r="N59" s="32" t="inlineStr">
        <is>
          <t>Active</t>
        </is>
      </c>
      <c r="O59" s="32" t="n"/>
      <c r="P59" s="64" t="n">
        <v>4.4</v>
      </c>
      <c r="Q59" s="63" t="n">
        <v>3337</v>
      </c>
      <c r="R59" s="63" t="n">
        <v>2074</v>
      </c>
      <c r="S59" s="63"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59" t="n">
        <v>79.98999999999999</v>
      </c>
      <c r="H60" s="32" t="inlineStr">
        <is>
          <t>Helium 10 Xray (Amazon.ca, CAD), 2026-10-14</t>
        </is>
      </c>
      <c r="I60" s="60" t="n">
        <v>50.99</v>
      </c>
      <c r="J60" s="61" t="inlineStr">
        <is>
          <t>2026-03-30</t>
        </is>
      </c>
      <c r="K60" s="33" t="n">
        <v>12.78</v>
      </c>
      <c r="L60" s="62" t="n">
        <v>0.2506373798784076</v>
      </c>
      <c r="M60" s="63" t="n">
        <v>2</v>
      </c>
      <c r="N60" s="32" t="inlineStr">
        <is>
          <t>Active</t>
        </is>
      </c>
      <c r="O60" s="32" t="n"/>
      <c r="P60" s="64" t="n">
        <v>4.4</v>
      </c>
      <c r="Q60" s="63" t="n">
        <v>3337</v>
      </c>
      <c r="R60" s="63" t="n">
        <v>2074</v>
      </c>
      <c r="S60" s="63"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59" t="n">
        <v>99.98999999999999</v>
      </c>
      <c r="H61" s="32" t="inlineStr">
        <is>
          <t>Helium 10 Xray (Amazon.ca, CAD), 2026-10-14</t>
        </is>
      </c>
      <c r="I61" s="60" t="n">
        <v>80.98999999999999</v>
      </c>
      <c r="J61" s="61" t="inlineStr">
        <is>
          <t>2026-03-30</t>
        </is>
      </c>
      <c r="K61" s="33" t="n">
        <v>22.81999999999999</v>
      </c>
      <c r="L61" s="62" t="n">
        <v>0.2817631806395851</v>
      </c>
      <c r="M61" s="63" t="n">
        <v>1</v>
      </c>
      <c r="N61" s="32" t="inlineStr">
        <is>
          <t>Active</t>
        </is>
      </c>
      <c r="O61" s="32" t="n"/>
      <c r="P61" s="64" t="n">
        <v>4.4</v>
      </c>
      <c r="Q61" s="63" t="n">
        <v>3337</v>
      </c>
      <c r="R61" s="63" t="n">
        <v>2074</v>
      </c>
      <c r="S61" s="63"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59" t="n">
        <v>99.98999999999999</v>
      </c>
      <c r="H62" s="32" t="inlineStr">
        <is>
          <t>Helium 10 Xray (Amazon.ca, CAD), 2026-10-14</t>
        </is>
      </c>
      <c r="I62" s="60" t="n">
        <v>89.98999999999999</v>
      </c>
      <c r="J62" s="61" t="inlineStr">
        <is>
          <t>2026-03-30</t>
        </is>
      </c>
      <c r="K62" s="33" t="n">
        <v>30.57999999999999</v>
      </c>
      <c r="L62" s="62" t="n">
        <v>0.3398155350594509</v>
      </c>
      <c r="M62" s="63" t="n">
        <v>1</v>
      </c>
      <c r="N62" s="32" t="inlineStr">
        <is>
          <t>Active</t>
        </is>
      </c>
      <c r="O62" s="32" t="n"/>
      <c r="P62" s="64" t="n">
        <v>4.4</v>
      </c>
      <c r="Q62" s="63" t="n">
        <v>3337</v>
      </c>
      <c r="R62" s="63" t="n">
        <v>2074</v>
      </c>
      <c r="S62" s="63"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59" t="n">
        <v>99.98999999999999</v>
      </c>
      <c r="H63" s="32" t="inlineStr">
        <is>
          <t>Helium 10 Xray (Amazon.ca, CAD), 2026-10-14</t>
        </is>
      </c>
      <c r="I63" s="60" t="n">
        <v>99.98999999999999</v>
      </c>
      <c r="J63" s="61" t="inlineStr">
        <is>
          <t>2026-03-30</t>
        </is>
      </c>
      <c r="K63" s="33" t="n">
        <v>38.57999999999999</v>
      </c>
      <c r="L63" s="62" t="n">
        <v>0.3858385838583858</v>
      </c>
      <c r="M63" s="63" t="n">
        <v>1</v>
      </c>
      <c r="N63" s="32" t="inlineStr">
        <is>
          <t>Active</t>
        </is>
      </c>
      <c r="O63" s="32" t="n"/>
      <c r="P63" s="64" t="n">
        <v>4.4</v>
      </c>
      <c r="Q63" s="63" t="n">
        <v>3337</v>
      </c>
      <c r="R63" s="63" t="n">
        <v>2074</v>
      </c>
      <c r="S63" s="63"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0" t="n">
        <v>72.89</v>
      </c>
      <c r="J64" s="61" t="inlineStr">
        <is>
          <t>2026-03-30</t>
        </is>
      </c>
      <c r="K64" s="33" t="n">
        <v>15.64</v>
      </c>
      <c r="L64" s="62" t="n">
        <v>0.2145698998490877</v>
      </c>
      <c r="M64" s="63" t="n">
        <v>1</v>
      </c>
      <c r="N64" s="65" t="inlineStr">
        <is>
          <t>Not buyable on Amazon 2026-10-14: page redirects to B0CQ31X3X5 (Full Purple) - FBA stock 0 since 2026-09-22, 12 inbound (DataHub 2026-10-14)</t>
        </is>
      </c>
      <c r="O64" s="32" t="n"/>
      <c r="P64" s="64" t="n"/>
      <c r="Q64" s="63" t="n"/>
      <c r="R64" s="63" t="n"/>
      <c r="S64" s="63"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59" t="n">
        <v>99.98999999999999</v>
      </c>
      <c r="H65" s="32" t="inlineStr">
        <is>
          <t>Helium 10 Xray (Amazon.ca, CAD), 2026-10-14</t>
        </is>
      </c>
      <c r="I65" s="60" t="n">
        <v>99.98999999999999</v>
      </c>
      <c r="J65" s="61" t="inlineStr">
        <is>
          <t>2026-03-30</t>
        </is>
      </c>
      <c r="K65" s="33" t="n">
        <v>38.48999999999999</v>
      </c>
      <c r="L65" s="62" t="n">
        <v>0.3849384938493848</v>
      </c>
      <c r="M65" s="63" t="n">
        <v>1</v>
      </c>
      <c r="N65" s="32" t="inlineStr">
        <is>
          <t>Active</t>
        </is>
      </c>
      <c r="O65" s="32" t="n"/>
      <c r="P65" s="64" t="n">
        <v>4.4</v>
      </c>
      <c r="Q65" s="63" t="n">
        <v>3337</v>
      </c>
      <c r="R65" s="63" t="n">
        <v>2074</v>
      </c>
      <c r="S65" s="63"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59" t="n">
        <v>79.98999999999999</v>
      </c>
      <c r="H66" s="32" t="inlineStr">
        <is>
          <t>Helium 10 Xray (Amazon.ca, CAD), 2026-10-14</t>
        </is>
      </c>
      <c r="I66" s="60" t="n">
        <v>62.99</v>
      </c>
      <c r="J66" s="61" t="inlineStr">
        <is>
          <t>2026-03-30</t>
        </is>
      </c>
      <c r="K66" s="33" t="n">
        <v>16.90000000000001</v>
      </c>
      <c r="L66" s="62" t="n">
        <v>0.2682965550087316</v>
      </c>
      <c r="M66" s="63" t="n">
        <v>1</v>
      </c>
      <c r="N66" s="32" t="inlineStr">
        <is>
          <t>Active</t>
        </is>
      </c>
      <c r="O66" s="32" t="n"/>
      <c r="P66" s="64" t="n">
        <v>4.4</v>
      </c>
      <c r="Q66" s="63" t="n">
        <v>3337</v>
      </c>
      <c r="R66" s="63" t="n">
        <v>2074</v>
      </c>
      <c r="S66" s="63"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59" t="n">
        <v>79.98999999999999</v>
      </c>
      <c r="H67" s="32" t="inlineStr">
        <is>
          <t>Helium 10 Xray (Amazon.ca, CAD), 2026-10-14</t>
        </is>
      </c>
      <c r="I67" s="60" t="n">
        <v>59.49</v>
      </c>
      <c r="J67" s="61" t="inlineStr">
        <is>
          <t>2026-03-30</t>
        </is>
      </c>
      <c r="K67" s="33" t="n">
        <v>13.66</v>
      </c>
      <c r="L67" s="62" t="n">
        <v>0.2296184232644142</v>
      </c>
      <c r="M67" s="63" t="n">
        <v>1</v>
      </c>
      <c r="N67" s="32" t="inlineStr">
        <is>
          <t>Active</t>
        </is>
      </c>
      <c r="O67" s="32" t="n"/>
      <c r="P67" s="64" t="n">
        <v>4.4</v>
      </c>
      <c r="Q67" s="63" t="n">
        <v>3337</v>
      </c>
      <c r="R67" s="63" t="n">
        <v>2074</v>
      </c>
      <c r="S67" s="63"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59" t="n">
        <v>79.98999999999999</v>
      </c>
      <c r="H68" s="32" t="inlineStr">
        <is>
          <t>Helium 10 Xray (Amazon.ca, CAD), 2026-10-14</t>
        </is>
      </c>
      <c r="I68" s="60" t="n">
        <v>62.99</v>
      </c>
      <c r="J68" s="61" t="inlineStr">
        <is>
          <t>2026-03-30</t>
        </is>
      </c>
      <c r="K68" s="33" t="n">
        <v>16.54000000000001</v>
      </c>
      <c r="L68" s="62" t="n">
        <v>0.2625813621209717</v>
      </c>
      <c r="M68" s="63" t="n">
        <v>1</v>
      </c>
      <c r="N68" s="32" t="inlineStr">
        <is>
          <t>Active</t>
        </is>
      </c>
      <c r="O68" s="32" t="n"/>
      <c r="P68" s="64" t="n">
        <v>4.4</v>
      </c>
      <c r="Q68" s="63" t="n">
        <v>3337</v>
      </c>
      <c r="R68" s="63" t="n">
        <v>2074</v>
      </c>
      <c r="S68" s="63"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59" t="n">
        <v>99.98999999999999</v>
      </c>
      <c r="H69" s="32" t="inlineStr">
        <is>
          <t>Helium 10 Xray (Amazon.ca, CAD), 2026-10-14</t>
        </is>
      </c>
      <c r="I69" s="60" t="n">
        <v>117.31</v>
      </c>
      <c r="J69" s="61" t="inlineStr">
        <is>
          <t>2026-03-30</t>
        </is>
      </c>
      <c r="K69" s="33" t="n">
        <v>48.19</v>
      </c>
      <c r="L69" s="62" t="n">
        <v>0.4107919188474981</v>
      </c>
      <c r="M69" s="63" t="n">
        <v>1</v>
      </c>
      <c r="N69" s="32" t="inlineStr">
        <is>
          <t>Active</t>
        </is>
      </c>
      <c r="O69" s="32" t="n"/>
      <c r="P69" s="64" t="n">
        <v>4.4</v>
      </c>
      <c r="Q69" s="63" t="n">
        <v>3337</v>
      </c>
      <c r="R69" s="63" t="n">
        <v>2074</v>
      </c>
      <c r="S69" s="63"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59" t="n">
        <v>99.98999999999999</v>
      </c>
      <c r="H70" s="32" t="inlineStr">
        <is>
          <t>Helium 10 Xray (Amazon.ca, CAD), 2026-10-14</t>
        </is>
      </c>
      <c r="I70" s="60" t="n">
        <v>78.73</v>
      </c>
      <c r="J70" s="61" t="inlineStr">
        <is>
          <t>2026-03-30</t>
        </is>
      </c>
      <c r="K70" s="33" t="n">
        <v>26.21</v>
      </c>
      <c r="L70" s="62" t="n">
        <v>0.3329099453829544</v>
      </c>
      <c r="M70" s="63" t="n">
        <v>1</v>
      </c>
      <c r="N70" s="32" t="inlineStr">
        <is>
          <t>Active</t>
        </is>
      </c>
      <c r="O70" s="32" t="n"/>
      <c r="P70" s="64" t="n">
        <v>4.4</v>
      </c>
      <c r="Q70" s="63" t="n">
        <v>3337</v>
      </c>
      <c r="R70" s="63" t="n">
        <v>2072</v>
      </c>
      <c r="S70" s="63"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59" t="n">
        <v>79.98</v>
      </c>
      <c r="H71" s="32" t="inlineStr">
        <is>
          <t>Helium 10 Xray (Amazon.ca, CAD), 2026-10-14</t>
        </is>
      </c>
      <c r="I71" s="60" t="n">
        <v>71.98999999999999</v>
      </c>
      <c r="J71" s="61" t="inlineStr">
        <is>
          <t>2026-03-30</t>
        </is>
      </c>
      <c r="K71" s="33" t="n">
        <v>27.94</v>
      </c>
      <c r="L71" s="62" t="n">
        <v>0.3881094596471732</v>
      </c>
      <c r="M71" s="63" t="n">
        <v>1</v>
      </c>
      <c r="N71" s="32" t="inlineStr">
        <is>
          <t>Active</t>
        </is>
      </c>
      <c r="O71" s="32" t="n"/>
      <c r="P71" s="64" t="n">
        <v>4.4</v>
      </c>
      <c r="Q71" s="63" t="n">
        <v>3337</v>
      </c>
      <c r="R71" s="63" t="n">
        <v>2074</v>
      </c>
      <c r="S71" s="63"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59" t="n">
        <v>79.98999999999999</v>
      </c>
      <c r="H72" s="32" t="inlineStr">
        <is>
          <t>Helium 10 Xray (Amazon.ca, CAD), 2026-10-14</t>
        </is>
      </c>
      <c r="I72" s="60" t="n">
        <v>62.99</v>
      </c>
      <c r="J72" s="61" t="inlineStr">
        <is>
          <t>2026-03-30</t>
        </is>
      </c>
      <c r="K72" s="33" t="n">
        <v>20.56000000000001</v>
      </c>
      <c r="L72" s="62" t="n">
        <v>0.3264010160342912</v>
      </c>
      <c r="M72" s="63" t="n">
        <v>1</v>
      </c>
      <c r="N72" s="32" t="inlineStr">
        <is>
          <t>Active</t>
        </is>
      </c>
      <c r="O72" s="32" t="n"/>
      <c r="P72" s="64" t="n">
        <v>4.4</v>
      </c>
      <c r="Q72" s="63" t="n">
        <v>3337</v>
      </c>
      <c r="R72" s="63" t="n">
        <v>2074</v>
      </c>
      <c r="S72" s="63"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59" t="n">
        <v>79.98999999999999</v>
      </c>
      <c r="H73" s="32" t="inlineStr">
        <is>
          <t>Helium 10 Xray (Amazon.ca, CAD), 2026-10-14</t>
        </is>
      </c>
      <c r="I73" s="60" t="n">
        <v>74.93000000000001</v>
      </c>
      <c r="J73" s="61" t="inlineStr">
        <is>
          <t>2026-03-30</t>
        </is>
      </c>
      <c r="K73" s="33" t="n">
        <v>27.4</v>
      </c>
      <c r="L73" s="62" t="n">
        <v>0.365674629654344</v>
      </c>
      <c r="M73" s="63" t="n">
        <v>1</v>
      </c>
      <c r="N73" s="32" t="inlineStr">
        <is>
          <t>Active</t>
        </is>
      </c>
      <c r="O73" s="32" t="n"/>
      <c r="P73" s="64" t="n">
        <v>4.4</v>
      </c>
      <c r="Q73" s="63" t="n">
        <v>3337</v>
      </c>
      <c r="R73" s="63" t="n">
        <v>2074</v>
      </c>
      <c r="S73" s="63"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59" t="n">
        <v>79.98999999999999</v>
      </c>
      <c r="H74" s="32" t="inlineStr">
        <is>
          <t>Helium 10 Xray (Amazon.ca, CAD), 2026-10-14</t>
        </is>
      </c>
      <c r="I74" s="60" t="n">
        <v>69.98999999999999</v>
      </c>
      <c r="J74" s="61" t="inlineStr">
        <is>
          <t>2026-03-30</t>
        </is>
      </c>
      <c r="K74" s="33" t="n">
        <v>29.35</v>
      </c>
      <c r="L74" s="62" t="n">
        <v>0.4193456208029718</v>
      </c>
      <c r="M74" s="63" t="n">
        <v>1</v>
      </c>
      <c r="N74" s="32" t="inlineStr">
        <is>
          <t>Active</t>
        </is>
      </c>
      <c r="O74" s="32" t="n"/>
      <c r="P74" s="64" t="n">
        <v>4.4</v>
      </c>
      <c r="Q74" s="63" t="n">
        <v>3337</v>
      </c>
      <c r="R74" s="63" t="n">
        <v>2074</v>
      </c>
      <c r="S74" s="63"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59" t="n">
        <v>99.98999999999999</v>
      </c>
      <c r="H75" s="32" t="inlineStr">
        <is>
          <t>Helium 10 Xray (Amazon.ca, CAD), 2026-10-14</t>
        </is>
      </c>
      <c r="I75" s="60" t="n">
        <v>71.27</v>
      </c>
      <c r="J75" s="61" t="inlineStr">
        <is>
          <t>2026-03-30</t>
        </is>
      </c>
      <c r="K75" s="33" t="n">
        <v>13.9</v>
      </c>
      <c r="L75" s="62" t="n">
        <v>0.1950329732005051</v>
      </c>
      <c r="M75" s="63" t="n">
        <v>0</v>
      </c>
      <c r="N75" s="32" t="inlineStr">
        <is>
          <t>Active</t>
        </is>
      </c>
      <c r="O75" s="32" t="n"/>
      <c r="P75" s="64" t="n">
        <v>4.4</v>
      </c>
      <c r="Q75" s="63" t="n">
        <v>3337</v>
      </c>
      <c r="R75" s="63" t="n">
        <v>2072</v>
      </c>
      <c r="S75" s="63"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59" t="n">
        <v>99.98999999999999</v>
      </c>
      <c r="H76" s="32" t="inlineStr">
        <is>
          <t>Helium 10 Xray (Amazon.ca, CAD), 2026-10-14</t>
        </is>
      </c>
      <c r="I76" s="60" t="n">
        <v>80.98999999999999</v>
      </c>
      <c r="J76" s="61" t="inlineStr">
        <is>
          <t>2026-03-30</t>
        </is>
      </c>
      <c r="K76" s="33" t="n">
        <v>23.28999999999999</v>
      </c>
      <c r="L76" s="62" t="n">
        <v>0.2875663662180515</v>
      </c>
      <c r="M76" s="63" t="n">
        <v>0</v>
      </c>
      <c r="N76" s="32" t="inlineStr">
        <is>
          <t>Active</t>
        </is>
      </c>
      <c r="O76" s="32" t="n"/>
      <c r="P76" s="64" t="n">
        <v>4.4</v>
      </c>
      <c r="Q76" s="63" t="n">
        <v>3337</v>
      </c>
      <c r="R76" s="63" t="n">
        <v>2074</v>
      </c>
      <c r="S76" s="63"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0" t="n">
        <v>80.98999999999999</v>
      </c>
      <c r="J77" s="61" t="inlineStr">
        <is>
          <t>2026-03-30</t>
        </is>
      </c>
      <c r="K77" s="33" t="n">
        <v>22.51999999999999</v>
      </c>
      <c r="L77" s="62" t="n">
        <v>0.2780590196320532</v>
      </c>
      <c r="M77" s="63" t="n">
        <v>0</v>
      </c>
      <c r="N77" s="32" t="inlineStr">
        <is>
          <t>Inactive</t>
        </is>
      </c>
      <c r="O77" s="32" t="n"/>
      <c r="P77" s="64" t="n"/>
      <c r="Q77" s="63" t="n"/>
      <c r="R77" s="63" t="n"/>
      <c r="S77" s="63"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59" t="n">
        <v>99.98999999999999</v>
      </c>
      <c r="H78" s="32" t="inlineStr">
        <is>
          <t>Helium 10 Xray (Amazon.ca, CAD), 2026-10-14</t>
        </is>
      </c>
      <c r="I78" s="60" t="n">
        <v>99.98999999999999</v>
      </c>
      <c r="J78" s="61" t="inlineStr">
        <is>
          <t>2026-03-30</t>
        </is>
      </c>
      <c r="K78" s="33" t="n">
        <v>38.48999999999999</v>
      </c>
      <c r="L78" s="62" t="n">
        <v>0.3849384938493848</v>
      </c>
      <c r="M78" s="63" t="n">
        <v>0</v>
      </c>
      <c r="N78" s="32" t="inlineStr">
        <is>
          <t>Active</t>
        </is>
      </c>
      <c r="O78" s="32" t="n"/>
      <c r="P78" s="64" t="n">
        <v>4.4</v>
      </c>
      <c r="Q78" s="63" t="n">
        <v>3337</v>
      </c>
      <c r="R78" s="63" t="n">
        <v>2074</v>
      </c>
      <c r="S78" s="63"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59" t="n">
        <v>79.98999999999999</v>
      </c>
      <c r="H79" s="32" t="inlineStr">
        <is>
          <t>Helium 10 Xray (Amazon.ca, CAD), 2026-10-14</t>
        </is>
      </c>
      <c r="I79" s="60" t="n">
        <v>62.99</v>
      </c>
      <c r="J79" s="61" t="inlineStr">
        <is>
          <t>2026-03-30</t>
        </is>
      </c>
      <c r="K79" s="33" t="n">
        <v>16.72</v>
      </c>
      <c r="L79" s="62" t="n">
        <v>0.2654389585648516</v>
      </c>
      <c r="M79" s="63" t="n">
        <v>0</v>
      </c>
      <c r="N79" s="32" t="inlineStr">
        <is>
          <t>Active</t>
        </is>
      </c>
      <c r="O79" s="32" t="n"/>
      <c r="P79" s="64" t="n">
        <v>4.4</v>
      </c>
      <c r="Q79" s="63" t="n">
        <v>3337</v>
      </c>
      <c r="R79" s="63" t="n">
        <v>2074</v>
      </c>
      <c r="S79" s="63"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0" t="n">
        <v>71.98999999999999</v>
      </c>
      <c r="J80" s="61" t="inlineStr">
        <is>
          <t>2026-03-30</t>
        </is>
      </c>
      <c r="K80" s="33" t="n">
        <v>22.33999999999999</v>
      </c>
      <c r="L80" s="62" t="n">
        <v>0.3103208778997082</v>
      </c>
      <c r="M80" s="63" t="n">
        <v>0</v>
      </c>
      <c r="N80" s="32" t="inlineStr">
        <is>
          <t>Inactive</t>
        </is>
      </c>
      <c r="O80" s="32" t="n"/>
      <c r="P80" s="64" t="n"/>
      <c r="Q80" s="63" t="n"/>
      <c r="R80" s="63" t="n"/>
      <c r="S80" s="63"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2" t="n"/>
      <c r="M81" s="63" t="n">
        <v>0</v>
      </c>
      <c r="N81" s="32" t="inlineStr">
        <is>
          <t>Active</t>
        </is>
      </c>
      <c r="O81" s="32" t="n"/>
      <c r="P81" s="64" t="n"/>
      <c r="Q81" s="63" t="n"/>
      <c r="R81" s="63" t="n"/>
      <c r="S81" s="63"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59" t="n">
        <v>79.98999999999999</v>
      </c>
      <c r="H82" s="32" t="inlineStr">
        <is>
          <t>Helium 10 Xray (Amazon.ca, CAD), 2026-10-14</t>
        </is>
      </c>
      <c r="I82" s="60" t="n">
        <v>62.99</v>
      </c>
      <c r="J82" s="61" t="inlineStr">
        <is>
          <t>2026-03-30</t>
        </is>
      </c>
      <c r="K82" s="33" t="n">
        <v>14.78</v>
      </c>
      <c r="L82" s="62" t="n">
        <v>0.2346404191141452</v>
      </c>
      <c r="M82" s="63" t="n">
        <v>0</v>
      </c>
      <c r="N82" s="32" t="inlineStr">
        <is>
          <t>Active</t>
        </is>
      </c>
      <c r="O82" s="32" t="n"/>
      <c r="P82" s="64" t="n">
        <v>4.4</v>
      </c>
      <c r="Q82" s="63" t="n">
        <v>3337</v>
      </c>
      <c r="R82" s="63" t="n">
        <v>2074</v>
      </c>
      <c r="S82" s="63"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59" t="n">
        <v>79.98999999999999</v>
      </c>
      <c r="H83" s="32" t="inlineStr">
        <is>
          <t>Helium 10 Xray (Amazon.ca, CAD), 2026-10-14</t>
        </is>
      </c>
      <c r="I83" s="60" t="n">
        <v>93.20999999999999</v>
      </c>
      <c r="J83" s="61" t="inlineStr">
        <is>
          <t>2026-03-30</t>
        </is>
      </c>
      <c r="K83" s="33" t="n">
        <v>37.65999999999999</v>
      </c>
      <c r="L83" s="62" t="n">
        <v>0.4040339019418516</v>
      </c>
      <c r="M83" s="63" t="n">
        <v>0</v>
      </c>
      <c r="N83" s="32" t="inlineStr">
        <is>
          <t>Active</t>
        </is>
      </c>
      <c r="O83" s="32" t="n"/>
      <c r="P83" s="64" t="n">
        <v>4.4</v>
      </c>
      <c r="Q83" s="63" t="n">
        <v>3337</v>
      </c>
      <c r="R83" s="63" t="n">
        <v>2074</v>
      </c>
      <c r="S83" s="63"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59" t="n">
        <v>99.98999999999999</v>
      </c>
      <c r="H84" s="32" t="inlineStr">
        <is>
          <t>Helium 10 Xray (Amazon.ca, CAD), 2026-10-14</t>
        </is>
      </c>
      <c r="I84" s="60" t="n">
        <v>99.98999999999999</v>
      </c>
      <c r="J84" s="61" t="inlineStr">
        <is>
          <t>2026-03-30</t>
        </is>
      </c>
      <c r="K84" s="33" t="n">
        <v>39.62</v>
      </c>
      <c r="L84" s="62" t="n">
        <v>0.3962396239623963</v>
      </c>
      <c r="M84" s="63" t="n">
        <v>0</v>
      </c>
      <c r="N84" s="32" t="inlineStr">
        <is>
          <t>Active</t>
        </is>
      </c>
      <c r="O84" s="32" t="n"/>
      <c r="P84" s="64" t="n">
        <v>4.4</v>
      </c>
      <c r="Q84" s="63" t="n">
        <v>3337</v>
      </c>
      <c r="R84" s="63" t="n">
        <v>2074</v>
      </c>
      <c r="S84" s="63"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59" t="n">
        <v>99.98999999999999</v>
      </c>
      <c r="H85" s="32" t="inlineStr">
        <is>
          <t>Helium 10 Xray (Amazon.ca, CAD), 2026-10-14</t>
        </is>
      </c>
      <c r="I85" s="60" t="n">
        <v>74.98999999999999</v>
      </c>
      <c r="J85" s="61" t="inlineStr">
        <is>
          <t>2026-03-22</t>
        </is>
      </c>
      <c r="K85" s="33" t="n">
        <v>17.62</v>
      </c>
      <c r="L85" s="62" t="n">
        <v>0.2349646619549273</v>
      </c>
      <c r="M85" s="63" t="n">
        <v>0</v>
      </c>
      <c r="N85" s="32" t="inlineStr">
        <is>
          <t>Active</t>
        </is>
      </c>
      <c r="O85" s="32" t="n"/>
      <c r="P85" s="64" t="n">
        <v>4.4</v>
      </c>
      <c r="Q85" s="63" t="n">
        <v>3337</v>
      </c>
      <c r="R85" s="63" t="n">
        <v>2074</v>
      </c>
      <c r="S85" s="63"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59" t="n">
        <v>99.98999999999999</v>
      </c>
      <c r="H86" s="32" t="inlineStr">
        <is>
          <t>Helium 10 Xray (Amazon.ca, CAD), 2026-10-14</t>
        </is>
      </c>
      <c r="I86" s="60" t="n">
        <v>115.02</v>
      </c>
      <c r="J86" s="61" t="inlineStr">
        <is>
          <t>2026-03-14</t>
        </is>
      </c>
      <c r="K86" s="33" t="n">
        <v>52.90999999999999</v>
      </c>
      <c r="L86" s="62" t="n">
        <v>0.4600069553121195</v>
      </c>
      <c r="M86" s="63" t="n"/>
      <c r="N86" s="32" t="inlineStr">
        <is>
          <t>Inactive</t>
        </is>
      </c>
      <c r="O86" s="32" t="n"/>
      <c r="P86" s="64" t="n">
        <v>4.4</v>
      </c>
      <c r="Q86" s="63" t="n">
        <v>3337</v>
      </c>
      <c r="R86" s="63" t="n">
        <v>2074</v>
      </c>
      <c r="S86" s="63"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59" t="n">
        <v>99.98999999999999</v>
      </c>
      <c r="H87" s="32" t="inlineStr">
        <is>
          <t>Helium 10 Xray (Amazon.ca, CAD), 2026-10-14</t>
        </is>
      </c>
      <c r="I87" s="33" t="n"/>
      <c r="J87" s="32" t="n"/>
      <c r="K87" s="33" t="n"/>
      <c r="L87" s="62" t="n"/>
      <c r="M87" s="63" t="n"/>
      <c r="N87" s="32" t="inlineStr">
        <is>
          <t>Active</t>
        </is>
      </c>
      <c r="O87" s="32" t="n"/>
      <c r="P87" s="64" t="n">
        <v>4.4</v>
      </c>
      <c r="Q87" s="63" t="n">
        <v>3337</v>
      </c>
      <c r="R87" s="63" t="n">
        <v>2072</v>
      </c>
      <c r="S87" s="63"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59" t="n">
        <v>79.98999999999999</v>
      </c>
      <c r="H88" s="32" t="inlineStr">
        <is>
          <t>Helium 10 Xray (Amazon.ca, CAD), 2026-10-14</t>
        </is>
      </c>
      <c r="I88" s="60" t="n">
        <v>62.99</v>
      </c>
      <c r="J88" s="61" t="inlineStr">
        <is>
          <t>2026-03-30</t>
        </is>
      </c>
      <c r="K88" s="33" t="n">
        <v>22.69000000000001</v>
      </c>
      <c r="L88" s="62" t="n">
        <v>0.3602159072868711</v>
      </c>
      <c r="M88" s="63" t="n">
        <v>0</v>
      </c>
      <c r="N88" s="32" t="inlineStr">
        <is>
          <t>Active</t>
        </is>
      </c>
      <c r="O88" s="32" t="n"/>
      <c r="P88" s="64" t="n">
        <v>4.4</v>
      </c>
      <c r="Q88" s="63" t="n">
        <v>3337</v>
      </c>
      <c r="R88" s="63" t="n">
        <v>2074</v>
      </c>
      <c r="S88" s="63"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0" t="n">
        <v>50.99</v>
      </c>
      <c r="J89" s="61" t="inlineStr">
        <is>
          <t>2026-03-30</t>
        </is>
      </c>
      <c r="K89" s="33" t="n">
        <v>13.02</v>
      </c>
      <c r="L89" s="62" t="n">
        <v>0.2553441851343401</v>
      </c>
      <c r="M89" s="63" t="n"/>
      <c r="N89" s="32" t="inlineStr">
        <is>
          <t>Inactive</t>
        </is>
      </c>
      <c r="O89" s="32" t="n"/>
      <c r="P89" s="64" t="n"/>
      <c r="Q89" s="63" t="n"/>
      <c r="R89" s="63" t="n"/>
      <c r="S89" s="63"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0" t="n">
        <v>62.99</v>
      </c>
      <c r="J90" s="61" t="inlineStr">
        <is>
          <t>2026-03-30</t>
        </is>
      </c>
      <c r="K90" s="33" t="n">
        <v>20.14000000000001</v>
      </c>
      <c r="L90" s="62" t="n">
        <v>0.3197332909985714</v>
      </c>
      <c r="M90" s="63" t="n"/>
      <c r="N90" s="32" t="inlineStr">
        <is>
          <t>Inactive</t>
        </is>
      </c>
      <c r="O90" s="32" t="n"/>
      <c r="P90" s="64" t="n">
        <v>4.4</v>
      </c>
      <c r="Q90" s="63" t="n">
        <v>3337</v>
      </c>
      <c r="R90" s="63" t="n">
        <v>2074</v>
      </c>
      <c r="S90" s="63"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59" t="n">
        <v>79.98999999999999</v>
      </c>
      <c r="H91" s="32" t="inlineStr">
        <is>
          <t>Helium 10 Xray (Amazon.ca, CAD), 2026-10-14</t>
        </is>
      </c>
      <c r="I91" s="60" t="n">
        <v>62.99</v>
      </c>
      <c r="J91" s="61" t="inlineStr">
        <is>
          <t>2026-03-30</t>
        </is>
      </c>
      <c r="K91" s="33" t="n">
        <v>23.04000000000001</v>
      </c>
      <c r="L91" s="62" t="n">
        <v>0.3657723448166377</v>
      </c>
      <c r="M91" s="63" t="n"/>
      <c r="N91" s="32" t="inlineStr">
        <is>
          <t>Active</t>
        </is>
      </c>
      <c r="O91" s="32" t="n"/>
      <c r="P91" s="64" t="n">
        <v>4.4</v>
      </c>
      <c r="Q91" s="63" t="n">
        <v>3337</v>
      </c>
      <c r="R91" s="63" t="n">
        <v>2074</v>
      </c>
      <c r="S91" s="63"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59" t="n">
        <v>79.98999999999999</v>
      </c>
      <c r="H92" s="32" t="inlineStr">
        <is>
          <t>Helium 10 Xray (Amazon.ca, CAD), 2026-10-14</t>
        </is>
      </c>
      <c r="I92" s="60" t="n">
        <v>63.99</v>
      </c>
      <c r="J92" s="61" t="inlineStr">
        <is>
          <t>2026-03-30</t>
        </is>
      </c>
      <c r="K92" s="33" t="n">
        <v>24.48</v>
      </c>
      <c r="L92" s="62" t="n">
        <v>0.3825597749648382</v>
      </c>
      <c r="M92" s="63" t="n">
        <v>0</v>
      </c>
      <c r="N92" s="32" t="inlineStr">
        <is>
          <t>Active</t>
        </is>
      </c>
      <c r="O92" s="32" t="n"/>
      <c r="P92" s="64" t="n">
        <v>4.4</v>
      </c>
      <c r="Q92" s="63" t="n">
        <v>3337</v>
      </c>
      <c r="R92" s="63" t="n">
        <v>2074</v>
      </c>
      <c r="S92" s="63"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59" t="n">
        <v>99.11</v>
      </c>
      <c r="H93" s="32" t="inlineStr">
        <is>
          <t>Helium 10 Xray (Amazon.ca, CAD), 2026-10-14</t>
        </is>
      </c>
      <c r="I93" s="60" t="n">
        <v>69.98999999999999</v>
      </c>
      <c r="J93" s="61" t="inlineStr">
        <is>
          <t>2026-03-30</t>
        </is>
      </c>
      <c r="K93" s="33" t="n">
        <v>29.1</v>
      </c>
      <c r="L93" s="62" t="n">
        <v>0.4157736819545649</v>
      </c>
      <c r="M93" s="63" t="n">
        <v>0</v>
      </c>
      <c r="N93" s="32" t="inlineStr">
        <is>
          <t>Active</t>
        </is>
      </c>
      <c r="O93" s="32" t="n"/>
      <c r="P93" s="64" t="n">
        <v>4.4</v>
      </c>
      <c r="Q93" s="63" t="n">
        <v>3337</v>
      </c>
      <c r="R93" s="63" t="n">
        <v>2074</v>
      </c>
      <c r="S93" s="63"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0" t="n">
        <v>61.59</v>
      </c>
      <c r="J94" s="61" t="inlineStr">
        <is>
          <t>2026-03-30</t>
        </is>
      </c>
      <c r="K94" s="33" t="n">
        <v>22</v>
      </c>
      <c r="L94" s="62" t="n">
        <v>0.3572008442929047</v>
      </c>
      <c r="M94" s="63" t="n"/>
      <c r="N94" s="32" t="inlineStr">
        <is>
          <t>Inactive</t>
        </is>
      </c>
      <c r="O94" s="32" t="n"/>
      <c r="P94" s="64" t="n"/>
      <c r="Q94" s="63" t="n"/>
      <c r="R94" s="63" t="n"/>
      <c r="S94" s="63"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59" t="n">
        <v>79.98999999999999</v>
      </c>
      <c r="H95" s="32" t="inlineStr">
        <is>
          <t>Helium 10 Xray (Amazon.ca, CAD), 2026-10-14</t>
        </is>
      </c>
      <c r="I95" s="60" t="n">
        <v>52.79</v>
      </c>
      <c r="J95" s="61" t="inlineStr">
        <is>
          <t>2026-03-30</t>
        </is>
      </c>
      <c r="K95" s="33" t="n">
        <v>14.55</v>
      </c>
      <c r="L95" s="62" t="n">
        <v>0.2756203826482288</v>
      </c>
      <c r="M95" s="63" t="n">
        <v>0</v>
      </c>
      <c r="N95" s="32" t="inlineStr">
        <is>
          <t>Active</t>
        </is>
      </c>
      <c r="O95" s="32" t="n"/>
      <c r="P95" s="64" t="n">
        <v>4.4</v>
      </c>
      <c r="Q95" s="63" t="n">
        <v>3337</v>
      </c>
      <c r="R95" s="63" t="n">
        <v>2074</v>
      </c>
      <c r="S95" s="63"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59" t="n">
        <v>79.98</v>
      </c>
      <c r="H96" s="32" t="inlineStr">
        <is>
          <t>Helium 10 Xray (Amazon.ca, CAD), 2026-10-14</t>
        </is>
      </c>
      <c r="I96" s="60" t="n">
        <v>71.98999999999999</v>
      </c>
      <c r="J96" s="61" t="inlineStr">
        <is>
          <t>2026-03-30</t>
        </is>
      </c>
      <c r="K96" s="33" t="n">
        <v>28.21</v>
      </c>
      <c r="L96" s="62" t="n">
        <v>0.3918599805528545</v>
      </c>
      <c r="M96" s="63" t="n">
        <v>0</v>
      </c>
      <c r="N96" s="32" t="inlineStr">
        <is>
          <t>Active</t>
        </is>
      </c>
      <c r="O96" s="32" t="n"/>
      <c r="P96" s="64" t="n">
        <v>4.4</v>
      </c>
      <c r="Q96" s="63" t="n">
        <v>3337</v>
      </c>
      <c r="R96" s="63" t="n">
        <v>2074</v>
      </c>
      <c r="S96" s="63"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59" t="n">
        <v>79.98999999999999</v>
      </c>
      <c r="H97" s="32" t="inlineStr">
        <is>
          <t>Helium 10 Xray (Amazon.ca, CAD), 2026-10-14</t>
        </is>
      </c>
      <c r="I97" s="60" t="n">
        <v>74.02</v>
      </c>
      <c r="J97" s="61" t="inlineStr">
        <is>
          <t>2026-03-30</t>
        </is>
      </c>
      <c r="K97" s="33" t="n">
        <v>27.16999999999999</v>
      </c>
      <c r="L97" s="62" t="n">
        <v>0.3670629559578491</v>
      </c>
      <c r="M97" s="63" t="n">
        <v>0</v>
      </c>
      <c r="N97" s="32" t="inlineStr">
        <is>
          <t>Active</t>
        </is>
      </c>
      <c r="O97" s="32" t="n"/>
      <c r="P97" s="64" t="n">
        <v>4.4</v>
      </c>
      <c r="Q97" s="63" t="n">
        <v>3337</v>
      </c>
      <c r="R97" s="63" t="n">
        <v>2074</v>
      </c>
      <c r="S97" s="63"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59" t="n">
        <v>79.98</v>
      </c>
      <c r="H98" s="32" t="inlineStr">
        <is>
          <t>Helium 10 Xray (Amazon.ca, CAD), 2026-10-14</t>
        </is>
      </c>
      <c r="I98" s="60" t="n">
        <v>62.99</v>
      </c>
      <c r="J98" s="61" t="inlineStr">
        <is>
          <t>2026-03-30</t>
        </is>
      </c>
      <c r="K98" s="33" t="n">
        <v>23.42000000000001</v>
      </c>
      <c r="L98" s="62" t="n">
        <v>0.3718050484203843</v>
      </c>
      <c r="M98" s="63" t="n">
        <v>0</v>
      </c>
      <c r="N98" s="32" t="inlineStr">
        <is>
          <t>Active</t>
        </is>
      </c>
      <c r="O98" s="32" t="n"/>
      <c r="P98" s="64" t="n">
        <v>4.4</v>
      </c>
      <c r="Q98" s="63" t="n">
        <v>3337</v>
      </c>
      <c r="R98" s="63" t="n">
        <v>2074</v>
      </c>
      <c r="S98" s="63" t="n">
        <v>7</v>
      </c>
      <c r="T98" s="32" t="n"/>
    </row>
    <row r="100" ht="20" customHeight="1">
      <c r="A100" s="53" t="inlineStr">
        <is>
          <t>3 · OUR BFCM 2025 RESULT &amp; EVENT VISIBILITY</t>
        </is>
      </c>
    </row>
    <row r="101">
      <c r="A101" s="66" t="inlineStr">
        <is>
          <t>Window</t>
        </is>
      </c>
      <c r="B101" s="67" t="n"/>
      <c r="C101" s="68" t="n"/>
      <c r="D101" s="66" t="inlineStr">
        <is>
          <t>Ad spend</t>
        </is>
      </c>
      <c r="E101" s="66" t="inlineStr">
        <is>
          <t>Ad sales</t>
        </is>
      </c>
      <c r="F101" s="66" t="inlineStr">
        <is>
          <t>ACoS</t>
        </is>
      </c>
      <c r="G101" s="66" t="inlineStr">
        <is>
          <t>TACoS</t>
        </is>
      </c>
      <c r="H101" s="66" t="inlineStr">
        <is>
          <t>Total sales (derived)</t>
        </is>
      </c>
      <c r="J101" s="66" t="inlineStr">
        <is>
          <t>Ad orders</t>
        </is>
      </c>
      <c r="K101" s="66" t="inlineStr">
        <is>
          <t>CVR</t>
        </is>
      </c>
    </row>
    <row r="102">
      <c r="A102" s="69" t="inlineStr">
        <is>
          <t>Pre-event Oct 21 - Nov 19, 2025 (30d)</t>
        </is>
      </c>
      <c r="B102" s="67" t="n"/>
      <c r="C102" s="68" t="n"/>
      <c r="D102" s="70" t="n">
        <v>13504.03</v>
      </c>
      <c r="E102" s="70" t="n">
        <v>60891.58999999998</v>
      </c>
      <c r="F102" s="71" t="n">
        <v>22.2</v>
      </c>
      <c r="G102" s="71" t="n">
        <v>12.49687324373004</v>
      </c>
      <c r="H102" s="70" t="n">
        <v>108059.27</v>
      </c>
      <c r="J102" s="72" t="n">
        <v>709</v>
      </c>
      <c r="K102" s="73" t="n">
        <v>10.94</v>
      </c>
    </row>
    <row r="103">
      <c r="A103" s="69" t="inlineStr">
        <is>
          <t>BFCM week Nov 20 - Dec 1, 2025 (12d)</t>
        </is>
      </c>
      <c r="B103" s="67" t="n"/>
      <c r="C103" s="68" t="n"/>
      <c r="D103" s="70" t="n">
        <v>8130.229999999998</v>
      </c>
      <c r="E103" s="70" t="n">
        <v>50932.02</v>
      </c>
      <c r="F103" s="71" t="n">
        <v>16</v>
      </c>
      <c r="G103" s="71" t="n">
        <v>6.088840788657071</v>
      </c>
      <c r="H103" s="70" t="n">
        <v>133526.73</v>
      </c>
      <c r="J103" s="72" t="n">
        <v>723</v>
      </c>
      <c r="K103" s="73" t="n">
        <v>16.65</v>
      </c>
    </row>
    <row r="104">
      <c r="A104" s="69" t="inlineStr">
        <is>
          <t>December 2 - 31, 2025 (30d)</t>
        </is>
      </c>
      <c r="B104" s="67" t="n"/>
      <c r="C104" s="68" t="n"/>
      <c r="D104" s="70" t="n">
        <v>12138.7</v>
      </c>
      <c r="E104" s="70" t="n">
        <v>64917.74999999999</v>
      </c>
      <c r="F104" s="71" t="n">
        <v>18.7</v>
      </c>
      <c r="G104" s="71" t="n">
        <v>9.648393640662018</v>
      </c>
      <c r="H104" s="70" t="n">
        <v>125810.58</v>
      </c>
      <c r="J104" s="72" t="n">
        <v>746</v>
      </c>
      <c r="K104" s="73" t="n">
        <v>13.41</v>
      </c>
    </row>
    <row r="106">
      <c r="A106" s="66" t="inlineStr">
        <is>
          <t>Actual sales (SellerBoard)</t>
        </is>
      </c>
      <c r="B106" s="67" t="n"/>
      <c r="C106" s="68" t="n"/>
      <c r="D106" s="66" t="inlineStr">
        <is>
          <t>Sales</t>
        </is>
      </c>
      <c r="E106" s="66" t="inlineStr">
        <is>
          <t>Units</t>
        </is>
      </c>
      <c r="F106" s="66" t="inlineStr">
        <is>
          <t>Organic units</t>
        </is>
      </c>
      <c r="G106" s="66" t="inlineStr">
        <is>
          <t>Ad units</t>
        </is>
      </c>
      <c r="H106" s="66" t="inlineStr">
        <is>
          <t>Ad cost</t>
        </is>
      </c>
      <c r="J106" s="66" t="inlineStr">
        <is>
          <t>TACoS (actual)</t>
        </is>
      </c>
      <c r="K106" s="66" t="inlineStr">
        <is>
          <t>Sessions</t>
        </is>
      </c>
      <c r="L106" s="66" t="inlineStr">
        <is>
          <t>Unit session %</t>
        </is>
      </c>
      <c r="M106" s="66" t="inlineStr">
        <is>
          <t>Avg price</t>
        </is>
      </c>
      <c r="N106" s="66" t="inlineStr">
        <is>
          <t>Refunds</t>
        </is>
      </c>
    </row>
    <row r="107">
      <c r="A107" s="69" t="inlineStr">
        <is>
          <t>Pre-event Oct 21 - Nov 19, 2025 (30d)</t>
        </is>
      </c>
      <c r="B107" s="67" t="n"/>
      <c r="C107" s="68" t="n"/>
      <c r="D107" s="70" t="n">
        <v>78110.10000000001</v>
      </c>
      <c r="E107" s="72" t="n">
        <v>1315</v>
      </c>
      <c r="F107" s="72" t="n">
        <v>1231</v>
      </c>
      <c r="G107" s="72" t="n">
        <v>84</v>
      </c>
      <c r="H107" s="70" t="n">
        <v>9627.639999999999</v>
      </c>
      <c r="J107" s="74" t="n">
        <v>0.1232572996321858</v>
      </c>
      <c r="K107" s="72" t="n">
        <v>30898</v>
      </c>
      <c r="L107" s="74" t="n">
        <v>0.04255938895721406</v>
      </c>
      <c r="M107" s="75" t="n">
        <v>59.39931558935362</v>
      </c>
      <c r="N107" s="72" t="n">
        <v>107</v>
      </c>
    </row>
    <row r="108">
      <c r="A108" s="69" t="inlineStr">
        <is>
          <t>BFCM week Nov 20 - Dec 1, 2025 (12d)</t>
        </is>
      </c>
      <c r="B108" s="67" t="n"/>
      <c r="C108" s="68" t="n"/>
      <c r="D108" s="70" t="n">
        <v>95881.75999999999</v>
      </c>
      <c r="E108" s="72" t="n">
        <v>1982</v>
      </c>
      <c r="F108" s="72" t="n">
        <v>1877</v>
      </c>
      <c r="G108" s="72" t="n">
        <v>105</v>
      </c>
      <c r="H108" s="70" t="n">
        <v>5792.86</v>
      </c>
      <c r="J108" s="74" t="n">
        <v>0.06041670490821194</v>
      </c>
      <c r="K108" s="72" t="n">
        <v>28069</v>
      </c>
      <c r="L108" s="74" t="n">
        <v>0.07061170686522499</v>
      </c>
      <c r="M108" s="75" t="n">
        <v>48.3762663975782</v>
      </c>
      <c r="N108" s="72" t="n">
        <v>48</v>
      </c>
    </row>
    <row r="109">
      <c r="A109" s="69" t="inlineStr">
        <is>
          <t>December 2 - 31, 2025 (30d)</t>
        </is>
      </c>
      <c r="B109" s="67" t="n"/>
      <c r="C109" s="68" t="n"/>
      <c r="D109" s="70" t="n">
        <v>98854.08</v>
      </c>
      <c r="E109" s="72" t="n">
        <v>1631</v>
      </c>
      <c r="F109" s="72" t="n">
        <v>1525</v>
      </c>
      <c r="G109" s="72" t="n">
        <v>106</v>
      </c>
      <c r="H109" s="70" t="n">
        <v>8816.139999999999</v>
      </c>
      <c r="J109" s="74" t="n">
        <v>0.08918337007435605</v>
      </c>
      <c r="K109" s="72" t="n">
        <v>31381</v>
      </c>
      <c r="L109" s="74" t="n">
        <v>0.05197412447022083</v>
      </c>
      <c r="M109" s="75" t="n">
        <v>60.60949110974862</v>
      </c>
      <c r="N109" s="72" t="n">
        <v>160</v>
      </c>
    </row>
    <row r="110">
      <c r="A110" s="58"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6"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7" t="inlineStr">
        <is>
          <t>BFCM 2026 plan (BM, Oct 15, 2026): Best Deal 11/19-11/30. Deal price and depth not yet given; not yet visible in Amazon's deal feed.</t>
        </is>
      </c>
    </row>
    <row r="113" ht="18" customHeight="1">
      <c r="A113" s="79" t="inlineStr">
        <is>
          <t>ASSUMED 2026 deal prices, until BM's final: B0CQ3178D7 today C$99.99; C$84.99 at 15% off (Nov 19-26) and C$79.99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14" ht="40" customHeight="1">
      <c r="A114" s="76"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8" t="inlineStr">
        <is>
          <t>Figures above are Amazon.ca in CAD. Visibility history is held for US ASINs only.</t>
        </is>
      </c>
    </row>
    <row r="117" ht="20" customHeight="1">
      <c r="A117" s="53" t="inlineStr">
        <is>
          <t>4 · COMPETITOR LANDSCAPE (8 mapped)</t>
        </is>
      </c>
    </row>
    <row r="118">
      <c r="A118" s="58" t="inlineStr">
        <is>
          <t>Sorted by tier, then estimated weekly units. Green = Command Center price/sales; blue = Data Dive listing; purple = Command Center search strategy (ASINsight); yellow = fill from Keepa / page check.</t>
        </is>
      </c>
    </row>
    <row r="119" ht="30" customHeight="1">
      <c r="A119" s="76"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3"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Bamboo Sheets 6 Piece  ·  Amazon.com (US)  ·  Bamboo  ·  BFCM role: Core  ·  Scope: Core</t>
        </is>
      </c>
    </row>
    <row r="2">
      <c r="A2" s="52" t="inlineStr">
        <is>
          <t>← Dashboard</t>
        </is>
      </c>
    </row>
    <row r="3" ht="20" customHeight="1">
      <c r="A3" s="53"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4" t="inlineStr">
        <is>
          <t>California King, Full, King, Queen, Twin</t>
        </is>
      </c>
      <c r="S4" s="11" t="inlineStr">
        <is>
          <t>Break-even ACoS</t>
        </is>
      </c>
      <c r="T4" s="54" t="inlineStr">
        <is>
          <t>24%</t>
        </is>
      </c>
    </row>
    <row r="5" ht="22" customHeight="1">
      <c r="C5" s="11" t="inlineStr">
        <is>
          <t>Brand</t>
        </is>
      </c>
      <c r="D5" s="54" t="inlineStr">
        <is>
          <t>Sleephoria</t>
        </is>
      </c>
      <c r="K5" s="11" t="inlineStr">
        <is>
          <t>Colours</t>
        </is>
      </c>
      <c r="L5" s="54" t="inlineStr">
        <is>
          <t>Black, Burgundy, Charcoal, Creme, Grey, Light Blue, Light Grey, Light Olive, Light Pink, Midgrey, Navy Blue, Olive, Purple, Sage Green, Taupe, White</t>
        </is>
      </c>
      <c r="S5" s="11" t="inlineStr">
        <is>
          <t>Units last 28 days</t>
        </is>
      </c>
      <c r="T5" s="54" t="inlineStr">
        <is>
          <t>91</t>
        </is>
      </c>
    </row>
    <row r="6" ht="22" customHeight="1">
      <c r="C6" s="11" t="inlineStr">
        <is>
          <t>Marketplace</t>
        </is>
      </c>
      <c r="D6" s="54" t="inlineStr">
        <is>
          <t>Amazon.com (US)</t>
        </is>
      </c>
      <c r="K6" s="11" t="inlineStr">
        <is>
          <t>Price now, best child</t>
        </is>
      </c>
      <c r="L6" s="54" t="inlineStr">
        <is>
          <t>$69.99 (Helium 10 Xray, 2026-10-13)</t>
        </is>
      </c>
      <c r="S6" s="11" t="inlineStr">
        <is>
          <t>Command Center product ASIN</t>
        </is>
      </c>
      <c r="T6" s="54" t="inlineStr">
        <is>
          <t>B0DDTY8HFR (one of our child ASINs, not the Amazon parent)</t>
        </is>
      </c>
    </row>
    <row r="7" ht="22" customHeight="1">
      <c r="C7" s="11" t="inlineStr">
        <is>
          <t>Parent ASIN (Amazon)</t>
        </is>
      </c>
      <c r="D7" s="54" t="inlineStr">
        <is>
          <t>B0HBWXDWJ5</t>
        </is>
      </c>
      <c r="K7" s="11" t="inlineStr">
        <is>
          <t>Rating / reviews now</t>
        </is>
      </c>
      <c r="L7" s="54" t="inlineStr">
        <is>
          <t>4.5 / 320 (Helium 10 Xray, 2026-10-13)</t>
        </is>
      </c>
    </row>
    <row r="8" ht="22" customHeight="1">
      <c r="C8" s="11" t="inlineStr">
        <is>
          <t>Best-selling child ASIN</t>
        </is>
      </c>
      <c r="D8" s="54" t="inlineStr">
        <is>
          <t>B0DDTYDHVB</t>
        </is>
      </c>
      <c r="K8" s="11" t="inlineStr">
        <is>
          <t>Live prices held</t>
        </is>
      </c>
      <c r="L8" s="54" t="inlineStr">
        <is>
          <t>38 of 82 variations</t>
        </is>
      </c>
    </row>
    <row r="9" ht="22" customHeight="1">
      <c r="C9" s="11" t="inlineStr">
        <is>
          <t>Stage</t>
        </is>
      </c>
      <c r="D9" s="54" t="inlineStr">
        <is>
          <t>Re-Launch</t>
        </is>
      </c>
      <c r="K9" s="11" t="inlineStr">
        <is>
          <t>Blended price (Command Center)</t>
        </is>
      </c>
      <c r="L9" s="54" t="inlineStr">
        <is>
          <t>$67.07 - fee feed as of 2026-03-30, STALE</t>
        </is>
      </c>
    </row>
    <row r="10">
      <c r="C10" s="11" t="inlineStr">
        <is>
          <t>Total variations (SKUs)</t>
        </is>
      </c>
      <c r="D10" s="54" t="n">
        <v>78</v>
      </c>
      <c r="K10" s="11" t="inlineStr">
        <is>
          <t>Contribution / unit</t>
        </is>
      </c>
      <c r="L10" s="54" t="inlineStr">
        <is>
          <t>$15.99</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1.20x</t>
        </is>
      </c>
      <c r="E12" s="56" t="inlineStr">
        <is>
          <t>18.7%</t>
        </is>
      </c>
      <c r="I12" s="56" t="inlineStr">
        <is>
          <t>2.27x</t>
        </is>
      </c>
      <c r="M12" s="56" t="inlineStr">
        <is>
          <t>30</t>
        </is>
      </c>
      <c r="Q12" s="56" t="inlineStr">
        <is>
          <t>9</t>
        </is>
      </c>
      <c r="U12" s="56" t="inlineStr">
        <is>
          <t>1</t>
        </is>
      </c>
    </row>
    <row r="13">
      <c r="A13" s="57" t="inlineStr">
        <is>
          <t>daily sales, BFCM wk vs 30 days before (SellerBoard actual)</t>
        </is>
      </c>
      <c r="E13" s="57" t="inlineStr">
        <is>
          <t>vs 35.5%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(82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59" t="n">
        <v>69.98999999999999</v>
      </c>
      <c r="H18" s="32" t="inlineStr">
        <is>
          <t>Helium 10 Xray, 2026-10-13</t>
        </is>
      </c>
      <c r="I18" s="60" t="n">
        <v>69.98999999999999</v>
      </c>
      <c r="J18" s="61" t="inlineStr">
        <is>
          <t>2026-03-30</t>
        </is>
      </c>
      <c r="K18" s="33" t="n">
        <v>13.94</v>
      </c>
      <c r="L18" s="62" t="n">
        <v>0.1991713101871696</v>
      </c>
      <c r="M18" s="63" t="n">
        <v>26</v>
      </c>
      <c r="N18" s="32" t="inlineStr">
        <is>
          <t>Active</t>
        </is>
      </c>
      <c r="O18" s="32" t="inlineStr">
        <is>
          <t>Yes (63%)</t>
        </is>
      </c>
      <c r="P18" s="64" t="n">
        <v>4.5</v>
      </c>
      <c r="Q18" s="63" t="n">
        <v>320</v>
      </c>
      <c r="R18" s="63" t="n">
        <v>252428</v>
      </c>
      <c r="S18" s="63"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0" t="n">
        <v>64.98999999999999</v>
      </c>
      <c r="J19" s="61" t="inlineStr">
        <is>
          <t>2026-03-30</t>
        </is>
      </c>
      <c r="K19" s="33" t="n">
        <v>19.41</v>
      </c>
      <c r="L19" s="62" t="n">
        <v>0.2986613325126942</v>
      </c>
      <c r="M19" s="63" t="n">
        <v>10</v>
      </c>
      <c r="N19" s="32" t="inlineStr">
        <is>
          <t>Active</t>
        </is>
      </c>
      <c r="O19" s="32" t="n"/>
      <c r="P19" s="64" t="n"/>
      <c r="Q19" s="63" t="n"/>
      <c r="R19" s="63" t="n"/>
      <c r="S19" s="63"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59" t="n">
        <v>69.98999999999999</v>
      </c>
      <c r="H20" s="32" t="inlineStr">
        <is>
          <t>Helium 10 Xray, 2026-10-13</t>
        </is>
      </c>
      <c r="I20" s="60" t="n">
        <v>69.98999999999999</v>
      </c>
      <c r="J20" s="61" t="inlineStr">
        <is>
          <t>2026-03-30</t>
        </is>
      </c>
      <c r="K20" s="33" t="n">
        <v>14.06999999999999</v>
      </c>
      <c r="L20" s="62" t="n">
        <v>0.2010287183883411</v>
      </c>
      <c r="M20" s="63" t="n">
        <v>6</v>
      </c>
      <c r="N20" s="32" t="inlineStr">
        <is>
          <t>Active</t>
        </is>
      </c>
      <c r="O20" s="32" t="n"/>
      <c r="P20" s="64" t="n">
        <v>4.5</v>
      </c>
      <c r="Q20" s="63" t="n">
        <v>320</v>
      </c>
      <c r="R20" s="63" t="n">
        <v>252421</v>
      </c>
      <c r="S20" s="63"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59" t="n">
        <v>69.98999999999999</v>
      </c>
      <c r="H21" s="32" t="inlineStr">
        <is>
          <t>Helium 10 Xray, 2026-10-13</t>
        </is>
      </c>
      <c r="I21" s="60" t="n">
        <v>69.98999999999999</v>
      </c>
      <c r="J21" s="61" t="inlineStr">
        <is>
          <t>2026-03-30</t>
        </is>
      </c>
      <c r="K21" s="33" t="n"/>
      <c r="L21" s="62" t="n"/>
      <c r="M21" s="63" t="n">
        <v>5</v>
      </c>
      <c r="N21" s="32" t="inlineStr">
        <is>
          <t>Active</t>
        </is>
      </c>
      <c r="O21" s="32" t="n"/>
      <c r="P21" s="64" t="n">
        <v>4.5</v>
      </c>
      <c r="Q21" s="63" t="n">
        <v>320</v>
      </c>
      <c r="R21" s="63" t="n">
        <v>252421</v>
      </c>
      <c r="S21" s="63"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59" t="n">
        <v>69.98999999999999</v>
      </c>
      <c r="H22" s="32" t="inlineStr">
        <is>
          <t>Helium 10 Xray, 2026-10-13</t>
        </is>
      </c>
      <c r="I22" s="60" t="n">
        <v>69.98999999999999</v>
      </c>
      <c r="J22" s="61" t="inlineStr">
        <is>
          <t>2026-03-30</t>
        </is>
      </c>
      <c r="K22" s="33" t="n"/>
      <c r="L22" s="62" t="n"/>
      <c r="M22" s="63" t="n">
        <v>5</v>
      </c>
      <c r="N22" s="32" t="inlineStr">
        <is>
          <t>Active</t>
        </is>
      </c>
      <c r="O22" s="32" t="n"/>
      <c r="P22" s="64" t="n">
        <v>4.5</v>
      </c>
      <c r="Q22" s="63" t="n">
        <v>320</v>
      </c>
      <c r="R22" s="63" t="n">
        <v>252421</v>
      </c>
      <c r="S22" s="63"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c r="H23" s="32" t="n"/>
      <c r="I23" s="60" t="n">
        <v>69.98999999999999</v>
      </c>
      <c r="J23" s="61" t="inlineStr">
        <is>
          <t>2026-03-30</t>
        </is>
      </c>
      <c r="K23" s="33" t="n">
        <v>17.11</v>
      </c>
      <c r="L23" s="62" t="n">
        <v>0.2444634947849693</v>
      </c>
      <c r="M23" s="63" t="n">
        <v>5</v>
      </c>
      <c r="N23" s="32" t="inlineStr">
        <is>
          <t>Inactive</t>
        </is>
      </c>
      <c r="O23" s="32" t="n"/>
      <c r="P23" s="64" t="n"/>
      <c r="Q23" s="63" t="n"/>
      <c r="R23" s="63" t="n"/>
      <c r="S23" s="63"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59" t="n">
        <v>64.98999999999999</v>
      </c>
      <c r="H24" s="32" t="inlineStr">
        <is>
          <t>Helium 10 Xray, 2026-10-13</t>
        </is>
      </c>
      <c r="I24" s="60" t="n">
        <v>64.98999999999999</v>
      </c>
      <c r="J24" s="61" t="inlineStr">
        <is>
          <t>2026-03-30</t>
        </is>
      </c>
      <c r="K24" s="33" t="n">
        <v>15.58</v>
      </c>
      <c r="L24" s="62" t="n">
        <v>0.2397291891060163</v>
      </c>
      <c r="M24" s="63" t="n">
        <v>5</v>
      </c>
      <c r="N24" s="32" t="inlineStr">
        <is>
          <t>Active</t>
        </is>
      </c>
      <c r="O24" s="32" t="inlineStr">
        <is>
          <t>Yes (28%)</t>
        </is>
      </c>
      <c r="P24" s="64" t="n">
        <v>4.5</v>
      </c>
      <c r="Q24" s="63" t="n">
        <v>320</v>
      </c>
      <c r="R24" s="63" t="n">
        <v>252421</v>
      </c>
      <c r="S24" s="63"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59" t="n">
        <v>69.98999999999999</v>
      </c>
      <c r="H25" s="32" t="inlineStr">
        <is>
          <t>Helium 10 Xray, 2026-10-13</t>
        </is>
      </c>
      <c r="I25" s="60" t="n">
        <v>69.98999999999999</v>
      </c>
      <c r="J25" s="61" t="inlineStr">
        <is>
          <t>2026-03-30</t>
        </is>
      </c>
      <c r="K25" s="33" t="n">
        <v>18.10999999999999</v>
      </c>
      <c r="L25" s="62" t="n">
        <v>0.2587512501785968</v>
      </c>
      <c r="M25" s="63" t="n">
        <v>4</v>
      </c>
      <c r="N25" s="32" t="inlineStr">
        <is>
          <t>Active</t>
        </is>
      </c>
      <c r="O25" s="32" t="n"/>
      <c r="P25" s="64" t="n">
        <v>4.5</v>
      </c>
      <c r="Q25" s="63" t="n">
        <v>320</v>
      </c>
      <c r="R25" s="63" t="n">
        <v>252421</v>
      </c>
      <c r="S25" s="63"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59" t="n">
        <v>59.99</v>
      </c>
      <c r="H26" s="32" t="inlineStr">
        <is>
          <t>Helium 10 Xray, 2026-10-13</t>
        </is>
      </c>
      <c r="I26" s="60" t="n">
        <v>59.99</v>
      </c>
      <c r="J26" s="61" t="inlineStr">
        <is>
          <t>2026-03-30</t>
        </is>
      </c>
      <c r="K26" s="33" t="n">
        <v>13.31</v>
      </c>
      <c r="L26" s="62" t="n">
        <v>0.2218703117186198</v>
      </c>
      <c r="M26" s="63" t="n">
        <v>3</v>
      </c>
      <c r="N26" s="32" t="inlineStr">
        <is>
          <t>Active</t>
        </is>
      </c>
      <c r="O26" s="32" t="n"/>
      <c r="P26" s="64" t="n">
        <v>4.5</v>
      </c>
      <c r="Q26" s="63" t="n">
        <v>320</v>
      </c>
      <c r="R26" s="63" t="n">
        <v>252428</v>
      </c>
      <c r="S26" s="63"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59" t="n">
        <v>69.98999999999999</v>
      </c>
      <c r="H27" s="32" t="inlineStr">
        <is>
          <t>Helium 10 Xray, 2026-10-13</t>
        </is>
      </c>
      <c r="I27" s="60" t="n">
        <v>69.98999999999999</v>
      </c>
      <c r="J27" s="61" t="inlineStr">
        <is>
          <t>2026-03-30</t>
        </is>
      </c>
      <c r="K27" s="33" t="n">
        <v>16.91999999999999</v>
      </c>
      <c r="L27" s="62" t="n">
        <v>0.24174882126018</v>
      </c>
      <c r="M27" s="63" t="n">
        <v>2</v>
      </c>
      <c r="N27" s="32" t="inlineStr">
        <is>
          <t>Active</t>
        </is>
      </c>
      <c r="O27" s="32" t="n"/>
      <c r="P27" s="64" t="n">
        <v>4.5</v>
      </c>
      <c r="Q27" s="63" t="n">
        <v>320</v>
      </c>
      <c r="R27" s="63" t="n">
        <v>252421</v>
      </c>
      <c r="S27" s="63"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59" t="n">
        <v>59.99</v>
      </c>
      <c r="H28" s="32" t="inlineStr">
        <is>
          <t>Helium 10 Xray, 2026-10-13</t>
        </is>
      </c>
      <c r="I28" s="60" t="n">
        <v>59.99</v>
      </c>
      <c r="J28" s="61" t="inlineStr">
        <is>
          <t>2026-03-30</t>
        </is>
      </c>
      <c r="K28" s="33" t="n"/>
      <c r="L28" s="62" t="n"/>
      <c r="M28" s="63" t="n">
        <v>2</v>
      </c>
      <c r="N28" s="32" t="inlineStr">
        <is>
          <t>Active</t>
        </is>
      </c>
      <c r="O28" s="32" t="n"/>
      <c r="P28" s="64" t="n">
        <v>4.5</v>
      </c>
      <c r="Q28" s="63" t="n">
        <v>320</v>
      </c>
      <c r="R28" s="63" t="n">
        <v>252421</v>
      </c>
      <c r="S28" s="63"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59" t="n">
        <v>59.99</v>
      </c>
      <c r="H29" s="32" t="inlineStr">
        <is>
          <t>Helium 10 Xray, 2026-10-13</t>
        </is>
      </c>
      <c r="I29" s="60" t="n">
        <v>59.99</v>
      </c>
      <c r="J29" s="61" t="inlineStr">
        <is>
          <t>2026-03-30</t>
        </is>
      </c>
      <c r="K29" s="33" t="n">
        <v>13.37</v>
      </c>
      <c r="L29" s="62" t="n">
        <v>0.2228704784130689</v>
      </c>
      <c r="M29" s="63" t="n">
        <v>2</v>
      </c>
      <c r="N29" s="32" t="inlineStr">
        <is>
          <t>Active</t>
        </is>
      </c>
      <c r="O29" s="32" t="n"/>
      <c r="P29" s="64" t="n">
        <v>4.5</v>
      </c>
      <c r="Q29" s="63" t="n">
        <v>320</v>
      </c>
      <c r="R29" s="63" t="n">
        <v>252428</v>
      </c>
      <c r="S29" s="63"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0" t="n">
        <v>69.98999999999999</v>
      </c>
      <c r="J30" s="61" t="inlineStr">
        <is>
          <t>2026-03-30</t>
        </is>
      </c>
      <c r="K30" s="33" t="n">
        <v>20.23</v>
      </c>
      <c r="L30" s="62" t="n">
        <v>0.2890412916130876</v>
      </c>
      <c r="M30" s="63" t="n">
        <v>2</v>
      </c>
      <c r="N30" s="32" t="inlineStr">
        <is>
          <t>Inactive</t>
        </is>
      </c>
      <c r="O30" s="32" t="n"/>
      <c r="P30" s="64" t="n"/>
      <c r="Q30" s="63" t="n"/>
      <c r="R30" s="63" t="n"/>
      <c r="S30" s="63"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59" t="n">
        <v>54.99</v>
      </c>
      <c r="H31" s="32" t="inlineStr">
        <is>
          <t>Helium 10 Xray, 2026-10-13</t>
        </is>
      </c>
      <c r="I31" s="60" t="n">
        <v>54.99</v>
      </c>
      <c r="J31" s="61" t="inlineStr">
        <is>
          <t>2026-03-30</t>
        </is>
      </c>
      <c r="K31" s="33" t="n">
        <v>18.52</v>
      </c>
      <c r="L31" s="62" t="n">
        <v>0.3367885070012729</v>
      </c>
      <c r="M31" s="63" t="n">
        <v>2</v>
      </c>
      <c r="N31" s="32" t="inlineStr">
        <is>
          <t>Active</t>
        </is>
      </c>
      <c r="O31" s="32" t="n"/>
      <c r="P31" s="64" t="n">
        <v>4.5</v>
      </c>
      <c r="Q31" s="63" t="n">
        <v>320</v>
      </c>
      <c r="R31" s="63" t="n">
        <v>252421</v>
      </c>
      <c r="S31" s="63"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0" t="n">
        <v>59.99</v>
      </c>
      <c r="J32" s="61" t="inlineStr">
        <is>
          <t>2026-03-30</t>
        </is>
      </c>
      <c r="K32" s="33" t="n">
        <v>23.31</v>
      </c>
      <c r="L32" s="62" t="n">
        <v>0.3885647607934655</v>
      </c>
      <c r="M32" s="63" t="n">
        <v>2</v>
      </c>
      <c r="N32" s="32" t="inlineStr">
        <is>
          <t>Inactive</t>
        </is>
      </c>
      <c r="O32" s="32" t="n"/>
      <c r="P32" s="64" t="n"/>
      <c r="Q32" s="63" t="n"/>
      <c r="R32" s="63" t="n"/>
      <c r="S32" s="63"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59" t="n">
        <v>69.98999999999999</v>
      </c>
      <c r="H33" s="32" t="inlineStr">
        <is>
          <t>Helium 10 Xray, 2026-10-13</t>
        </is>
      </c>
      <c r="I33" s="60" t="n">
        <v>69.98999999999999</v>
      </c>
      <c r="J33" s="61" t="inlineStr">
        <is>
          <t>2026-03-30</t>
        </is>
      </c>
      <c r="K33" s="33" t="n"/>
      <c r="L33" s="62" t="n"/>
      <c r="M33" s="63" t="n">
        <v>1</v>
      </c>
      <c r="N33" s="32" t="inlineStr">
        <is>
          <t>Active</t>
        </is>
      </c>
      <c r="O33" s="32" t="n"/>
      <c r="P33" s="64" t="n">
        <v>4.5</v>
      </c>
      <c r="Q33" s="63" t="n">
        <v>320</v>
      </c>
      <c r="R33" s="63" t="n">
        <v>252421</v>
      </c>
      <c r="S33" s="63"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59" t="n">
        <v>69.98999999999999</v>
      </c>
      <c r="H34" s="32" t="inlineStr">
        <is>
          <t>Helium 10 Xray, 2026-10-13</t>
        </is>
      </c>
      <c r="I34" s="60" t="n">
        <v>69.98999999999999</v>
      </c>
      <c r="J34" s="61" t="inlineStr">
        <is>
          <t>2026-03-30</t>
        </is>
      </c>
      <c r="K34" s="33" t="n">
        <v>14.09999999999999</v>
      </c>
      <c r="L34" s="62" t="n">
        <v>0.2014573510501499</v>
      </c>
      <c r="M34" s="63" t="n">
        <v>1</v>
      </c>
      <c r="N34" s="32" t="inlineStr">
        <is>
          <t>Active</t>
        </is>
      </c>
      <c r="O34" s="32" t="n"/>
      <c r="P34" s="64" t="n">
        <v>4.5</v>
      </c>
      <c r="Q34" s="63" t="n">
        <v>320</v>
      </c>
      <c r="R34" s="63" t="n">
        <v>252421</v>
      </c>
      <c r="S34" s="63"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59" t="n">
        <v>59.99</v>
      </c>
      <c r="H35" s="32" t="inlineStr">
        <is>
          <t>Helium 10 Xray, 2026-10-13</t>
        </is>
      </c>
      <c r="I35" s="60" t="n">
        <v>59.99</v>
      </c>
      <c r="J35" s="61" t="inlineStr">
        <is>
          <t>2026-03-30</t>
        </is>
      </c>
      <c r="K35" s="33" t="n">
        <v>12.99</v>
      </c>
      <c r="L35" s="62" t="n">
        <v>0.2165360893482248</v>
      </c>
      <c r="M35" s="63" t="n">
        <v>1</v>
      </c>
      <c r="N35" s="32" t="inlineStr">
        <is>
          <t>Active</t>
        </is>
      </c>
      <c r="O35" s="32" t="n"/>
      <c r="P35" s="64" t="n">
        <v>4.5</v>
      </c>
      <c r="Q35" s="63" t="n">
        <v>320</v>
      </c>
      <c r="R35" s="63" t="n">
        <v>252421</v>
      </c>
      <c r="S35" s="63"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59" t="n">
        <v>59.99</v>
      </c>
      <c r="H36" s="32" t="inlineStr">
        <is>
          <t>Helium 10 Xray, 2026-10-13</t>
        </is>
      </c>
      <c r="I36" s="60" t="n">
        <v>59.99</v>
      </c>
      <c r="J36" s="61" t="inlineStr">
        <is>
          <t>2026-03-30</t>
        </is>
      </c>
      <c r="K36" s="33" t="n"/>
      <c r="L36" s="62" t="n"/>
      <c r="M36" s="63" t="n">
        <v>1</v>
      </c>
      <c r="N36" s="32" t="inlineStr">
        <is>
          <t>Active</t>
        </is>
      </c>
      <c r="O36" s="32" t="n"/>
      <c r="P36" s="64" t="n">
        <v>4.5</v>
      </c>
      <c r="Q36" s="63" t="n">
        <v>320</v>
      </c>
      <c r="R36" s="63" t="n">
        <v>252421</v>
      </c>
      <c r="S36" s="63"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59" t="n">
        <v>59.99</v>
      </c>
      <c r="H37" s="32" t="inlineStr">
        <is>
          <t>Helium 10 Xray, 2026-10-13</t>
        </is>
      </c>
      <c r="I37" s="60" t="n">
        <v>59.99</v>
      </c>
      <c r="J37" s="61" t="inlineStr">
        <is>
          <t>2026-03-30</t>
        </is>
      </c>
      <c r="K37" s="33" t="n">
        <v>13.27</v>
      </c>
      <c r="L37" s="62" t="n">
        <v>0.2212035339223204</v>
      </c>
      <c r="M37" s="63" t="n">
        <v>1</v>
      </c>
      <c r="N37" s="32" t="inlineStr">
        <is>
          <t>Active</t>
        </is>
      </c>
      <c r="O37" s="32" t="n"/>
      <c r="P37" s="64" t="n">
        <v>4.5</v>
      </c>
      <c r="Q37" s="63" t="n">
        <v>320</v>
      </c>
      <c r="R37" s="63" t="n">
        <v>252421</v>
      </c>
      <c r="S37" s="63"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59" t="n">
        <v>59.99</v>
      </c>
      <c r="H38" s="32" t="inlineStr">
        <is>
          <t>Helium 10 Xray, 2026-10-13</t>
        </is>
      </c>
      <c r="I38" s="60" t="n">
        <v>59.99</v>
      </c>
      <c r="J38" s="61" t="inlineStr">
        <is>
          <t>2026-03-30</t>
        </is>
      </c>
      <c r="K38" s="33" t="n">
        <v>13.27</v>
      </c>
      <c r="L38" s="62" t="n">
        <v>0.2212035339223204</v>
      </c>
      <c r="M38" s="63" t="n">
        <v>1</v>
      </c>
      <c r="N38" s="32" t="inlineStr">
        <is>
          <t>Active</t>
        </is>
      </c>
      <c r="O38" s="32" t="n"/>
      <c r="P38" s="64" t="n">
        <v>4.5</v>
      </c>
      <c r="Q38" s="63" t="n">
        <v>320</v>
      </c>
      <c r="R38" s="63" t="n">
        <v>252421</v>
      </c>
      <c r="S38" s="63"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0" t="n">
        <v>69.98999999999999</v>
      </c>
      <c r="J39" s="61" t="inlineStr">
        <is>
          <t>2026-03-30</t>
        </is>
      </c>
      <c r="K39" s="33" t="n">
        <v>18.10999999999999</v>
      </c>
      <c r="L39" s="62" t="n">
        <v>0.2587512501785968</v>
      </c>
      <c r="M39" s="63" t="n">
        <v>1</v>
      </c>
      <c r="N39" s="32" t="inlineStr">
        <is>
          <t>Inactive</t>
        </is>
      </c>
      <c r="O39" s="32" t="n"/>
      <c r="P39" s="64" t="n"/>
      <c r="Q39" s="63" t="n"/>
      <c r="R39" s="63" t="n"/>
      <c r="S39" s="63"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0" t="n">
        <v>69.98999999999999</v>
      </c>
      <c r="J40" s="61" t="inlineStr">
        <is>
          <t>2026-03-30</t>
        </is>
      </c>
      <c r="K40" s="33" t="n">
        <v>18.83999999999999</v>
      </c>
      <c r="L40" s="62" t="n">
        <v>0.2691813116159451</v>
      </c>
      <c r="M40" s="63" t="n">
        <v>1</v>
      </c>
      <c r="N40" s="32" t="inlineStr">
        <is>
          <t>Inactive</t>
        </is>
      </c>
      <c r="O40" s="32" t="n"/>
      <c r="P40" s="64" t="n"/>
      <c r="Q40" s="63" t="n"/>
      <c r="R40" s="63" t="n"/>
      <c r="S40" s="63"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59" t="n">
        <v>71.98999999999999</v>
      </c>
      <c r="H41" s="32" t="inlineStr">
        <is>
          <t>Helium 10 Xray, 2026-10-13</t>
        </is>
      </c>
      <c r="I41" s="60" t="n">
        <v>64.98999999999999</v>
      </c>
      <c r="J41" s="61" t="inlineStr">
        <is>
          <t>2026-03-30</t>
        </is>
      </c>
      <c r="K41" s="33" t="n">
        <v>20.88</v>
      </c>
      <c r="L41" s="62" t="n">
        <v>0.3212801969533774</v>
      </c>
      <c r="M41" s="63" t="n">
        <v>1</v>
      </c>
      <c r="N41" s="32" t="inlineStr">
        <is>
          <t>Active</t>
        </is>
      </c>
      <c r="O41" s="32" t="n"/>
      <c r="P41" s="64" t="n">
        <v>4.5</v>
      </c>
      <c r="Q41" s="63" t="n">
        <v>320</v>
      </c>
      <c r="R41" s="63" t="n">
        <v>252421</v>
      </c>
      <c r="S41" s="63"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59" t="n">
        <v>54.99</v>
      </c>
      <c r="H42" s="32" t="inlineStr">
        <is>
          <t>Helium 10 Xray, 2026-10-13</t>
        </is>
      </c>
      <c r="I42" s="60" t="n">
        <v>54.99</v>
      </c>
      <c r="J42" s="61" t="inlineStr">
        <is>
          <t>2026-03-30</t>
        </is>
      </c>
      <c r="K42" s="33" t="n">
        <v>18.52</v>
      </c>
      <c r="L42" s="62" t="n">
        <v>0.3367885070012729</v>
      </c>
      <c r="M42" s="63" t="n">
        <v>1</v>
      </c>
      <c r="N42" s="32" t="inlineStr">
        <is>
          <t>Active</t>
        </is>
      </c>
      <c r="O42" s="32" t="n"/>
      <c r="P42" s="64" t="n">
        <v>4.5</v>
      </c>
      <c r="Q42" s="63" t="n">
        <v>320</v>
      </c>
      <c r="R42" s="63" t="n">
        <v>252421</v>
      </c>
      <c r="S42" s="63"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0" t="n">
        <v>69.98999999999999</v>
      </c>
      <c r="J43" s="61" t="inlineStr">
        <is>
          <t>2026-03-30</t>
        </is>
      </c>
      <c r="K43" s="33" t="n">
        <v>16.91999999999999</v>
      </c>
      <c r="L43" s="62" t="n">
        <v>0.24174882126018</v>
      </c>
      <c r="M43" s="63" t="n"/>
      <c r="N43" s="32" t="inlineStr">
        <is>
          <t>Inactive</t>
        </is>
      </c>
      <c r="O43" s="32" t="n"/>
      <c r="P43" s="64" t="n"/>
      <c r="Q43" s="63" t="n"/>
      <c r="R43" s="63" t="n"/>
      <c r="S43" s="63"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0" t="n">
        <v>69.98999999999999</v>
      </c>
      <c r="J44" s="61" t="inlineStr">
        <is>
          <t>2026-03-30</t>
        </is>
      </c>
      <c r="K44" s="33" t="n">
        <v>16.91999999999999</v>
      </c>
      <c r="L44" s="62" t="n">
        <v>0.24174882126018</v>
      </c>
      <c r="M44" s="63" t="n"/>
      <c r="N44" s="32" t="inlineStr">
        <is>
          <t>Inactive</t>
        </is>
      </c>
      <c r="O44" s="32" t="n"/>
      <c r="P44" s="64" t="n"/>
      <c r="Q44" s="63" t="n"/>
      <c r="R44" s="63" t="n"/>
      <c r="S44" s="63"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0" t="n">
        <v>69.98999999999999</v>
      </c>
      <c r="J45" s="61" t="inlineStr">
        <is>
          <t>2026-03-28</t>
        </is>
      </c>
      <c r="K45" s="33" t="n">
        <v>16.91999999999999</v>
      </c>
      <c r="L45" s="62" t="n">
        <v>0.24174882126018</v>
      </c>
      <c r="M45" s="63" t="n"/>
      <c r="N45" s="32" t="inlineStr">
        <is>
          <t>Inactive</t>
        </is>
      </c>
      <c r="O45" s="32" t="n"/>
      <c r="P45" s="64" t="n"/>
      <c r="Q45" s="63" t="n"/>
      <c r="R45" s="63" t="n"/>
      <c r="S45" s="63"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0" t="n">
        <v>69.98999999999999</v>
      </c>
      <c r="J46" s="61" t="inlineStr">
        <is>
          <t>2026-03-30</t>
        </is>
      </c>
      <c r="K46" s="33" t="n">
        <v>16.91999999999999</v>
      </c>
      <c r="L46" s="62" t="n">
        <v>0.24174882126018</v>
      </c>
      <c r="M46" s="63" t="n"/>
      <c r="N46" s="32" t="inlineStr">
        <is>
          <t>Inactive</t>
        </is>
      </c>
      <c r="O46" s="32" t="n"/>
      <c r="P46" s="64" t="n"/>
      <c r="Q46" s="63" t="n"/>
      <c r="R46" s="63" t="n"/>
      <c r="S46" s="63"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0" t="n">
        <v>69.98999999999999</v>
      </c>
      <c r="J47" s="61" t="inlineStr">
        <is>
          <t>2026-03-30</t>
        </is>
      </c>
      <c r="K47" s="33" t="n">
        <v>18.88</v>
      </c>
      <c r="L47" s="62" t="n">
        <v>0.2697528218316902</v>
      </c>
      <c r="M47" s="63" t="n"/>
      <c r="N47" s="32" t="inlineStr">
        <is>
          <t>Inactive</t>
        </is>
      </c>
      <c r="O47" s="32" t="n"/>
      <c r="P47" s="64" t="n"/>
      <c r="Q47" s="63" t="n"/>
      <c r="R47" s="63" t="n"/>
      <c r="S47" s="63"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0" t="n">
        <v>69.98999999999999</v>
      </c>
      <c r="J48" s="61" t="inlineStr">
        <is>
          <t>2026-03-30</t>
        </is>
      </c>
      <c r="K48" s="33" t="n">
        <v>18.88</v>
      </c>
      <c r="L48" s="62" t="n">
        <v>0.2697528218316902</v>
      </c>
      <c r="M48" s="63" t="n"/>
      <c r="N48" s="32" t="inlineStr">
        <is>
          <t>Inactive</t>
        </is>
      </c>
      <c r="O48" s="32" t="n"/>
      <c r="P48" s="64" t="n"/>
      <c r="Q48" s="63" t="n"/>
      <c r="R48" s="63" t="n"/>
      <c r="S48" s="63"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59" t="n">
        <v>76.98999999999999</v>
      </c>
      <c r="H49" s="32" t="inlineStr">
        <is>
          <t>Helium 10 Xray, 2026-10-13</t>
        </is>
      </c>
      <c r="I49" s="60" t="n">
        <v>69.98999999999999</v>
      </c>
      <c r="J49" s="61" t="inlineStr">
        <is>
          <t>2026-03-30</t>
        </is>
      </c>
      <c r="K49" s="33" t="n"/>
      <c r="L49" s="62" t="n"/>
      <c r="M49" s="63" t="n">
        <v>0</v>
      </c>
      <c r="N49" s="32" t="inlineStr">
        <is>
          <t>Active</t>
        </is>
      </c>
      <c r="O49" s="32" t="n"/>
      <c r="P49" s="64" t="n">
        <v>4.5</v>
      </c>
      <c r="Q49" s="63" t="n">
        <v>320</v>
      </c>
      <c r="R49" s="63" t="n">
        <v>252428</v>
      </c>
      <c r="S49" s="63"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0" t="n">
        <v>69.98999999999999</v>
      </c>
      <c r="J50" s="61" t="inlineStr">
        <is>
          <t>2026-03-30</t>
        </is>
      </c>
      <c r="K50" s="33" t="n">
        <v>16.91999999999999</v>
      </c>
      <c r="L50" s="62" t="n">
        <v>0.24174882126018</v>
      </c>
      <c r="M50" s="63" t="n"/>
      <c r="N50" s="32" t="inlineStr">
        <is>
          <t>Inactive</t>
        </is>
      </c>
      <c r="O50" s="32" t="n"/>
      <c r="P50" s="64" t="n"/>
      <c r="Q50" s="63" t="n"/>
      <c r="R50" s="63" t="n"/>
      <c r="S50" s="63"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0" t="n">
        <v>69.98999999999999</v>
      </c>
      <c r="J51" s="61" t="inlineStr">
        <is>
          <t>2026-03-30</t>
        </is>
      </c>
      <c r="K51" s="33" t="n">
        <v>18.88</v>
      </c>
      <c r="L51" s="62" t="n">
        <v>0.2697528218316902</v>
      </c>
      <c r="M51" s="63" t="n"/>
      <c r="N51" s="32" t="inlineStr">
        <is>
          <t>Inactive</t>
        </is>
      </c>
      <c r="O51" s="32" t="n"/>
      <c r="P51" s="64" t="n"/>
      <c r="Q51" s="63" t="n"/>
      <c r="R51" s="63" t="n"/>
      <c r="S51" s="63"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59" t="n">
        <v>69.98999999999999</v>
      </c>
      <c r="H52" s="32" t="inlineStr">
        <is>
          <t>Helium 10 Xray, 2026-10-13</t>
        </is>
      </c>
      <c r="I52" s="60" t="n">
        <v>69.98999999999999</v>
      </c>
      <c r="J52" s="61" t="inlineStr">
        <is>
          <t>2026-03-30</t>
        </is>
      </c>
      <c r="K52" s="33" t="n">
        <v>14.20999999999999</v>
      </c>
      <c r="L52" s="62" t="n">
        <v>0.203029004143449</v>
      </c>
      <c r="M52" s="63" t="n">
        <v>0</v>
      </c>
      <c r="N52" s="32" t="inlineStr">
        <is>
          <t>Active</t>
        </is>
      </c>
      <c r="O52" s="32" t="n"/>
      <c r="P52" s="64" t="n">
        <v>4.5</v>
      </c>
      <c r="Q52" s="63" t="n">
        <v>320</v>
      </c>
      <c r="R52" s="63" t="n">
        <v>252428</v>
      </c>
      <c r="S52" s="63"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0" t="n">
        <v>69.98999999999999</v>
      </c>
      <c r="J53" s="61" t="inlineStr">
        <is>
          <t>2026-03-30</t>
        </is>
      </c>
      <c r="K53" s="33" t="n">
        <v>20.54</v>
      </c>
      <c r="L53" s="62" t="n">
        <v>0.2934704957851121</v>
      </c>
      <c r="M53" s="63" t="n"/>
      <c r="N53" s="32" t="inlineStr">
        <is>
          <t>Inactive</t>
        </is>
      </c>
      <c r="O53" s="32" t="n"/>
      <c r="P53" s="64" t="n"/>
      <c r="Q53" s="63" t="n"/>
      <c r="R53" s="63" t="n"/>
      <c r="S53" s="63"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2" t="n"/>
      <c r="M54" s="63" t="n"/>
      <c r="N54" s="32" t="inlineStr">
        <is>
          <t>Inactive</t>
        </is>
      </c>
      <c r="O54" s="32" t="n"/>
      <c r="P54" s="64" t="n"/>
      <c r="Q54" s="63" t="n"/>
      <c r="R54" s="63" t="n"/>
      <c r="S54" s="63"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0" t="n">
        <v>69.98999999999999</v>
      </c>
      <c r="J55" s="61" t="inlineStr">
        <is>
          <t>2026-03-30</t>
        </is>
      </c>
      <c r="K55" s="33" t="n">
        <v>17.87</v>
      </c>
      <c r="L55" s="62" t="n">
        <v>0.2553221888841263</v>
      </c>
      <c r="M55" s="63" t="n"/>
      <c r="N55" s="32" t="inlineStr">
        <is>
          <t>Inactive</t>
        </is>
      </c>
      <c r="O55" s="32" t="n"/>
      <c r="P55" s="64" t="n"/>
      <c r="Q55" s="63" t="n"/>
      <c r="R55" s="63" t="n"/>
      <c r="S55" s="63"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0" t="n">
        <v>59.99</v>
      </c>
      <c r="J56" s="61" t="inlineStr">
        <is>
          <t>2026-03-30</t>
        </is>
      </c>
      <c r="K56" s="33" t="n">
        <v>16.43</v>
      </c>
      <c r="L56" s="62" t="n">
        <v>0.2738789798299717</v>
      </c>
      <c r="M56" s="63" t="n"/>
      <c r="N56" s="32" t="inlineStr">
        <is>
          <t>Inactive</t>
        </is>
      </c>
      <c r="O56" s="32" t="n"/>
      <c r="P56" s="64" t="n"/>
      <c r="Q56" s="63" t="n"/>
      <c r="R56" s="63" t="n"/>
      <c r="S56" s="63"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59" t="n">
        <v>66.98999999999999</v>
      </c>
      <c r="H57" s="32" t="inlineStr">
        <is>
          <t>Helium 10 Xray, 2026-10-13</t>
        </is>
      </c>
      <c r="I57" s="60" t="n">
        <v>59.99</v>
      </c>
      <c r="J57" s="61" t="inlineStr">
        <is>
          <t>2026-03-30</t>
        </is>
      </c>
      <c r="K57" s="33" t="n">
        <v>13.24</v>
      </c>
      <c r="L57" s="62" t="n">
        <v>0.2207034505750959</v>
      </c>
      <c r="M57" s="63" t="n">
        <v>0</v>
      </c>
      <c r="N57" s="32" t="inlineStr">
        <is>
          <t>Active</t>
        </is>
      </c>
      <c r="O57" s="32" t="n"/>
      <c r="P57" s="64" t="n">
        <v>4.5</v>
      </c>
      <c r="Q57" s="63" t="n">
        <v>320</v>
      </c>
      <c r="R57" s="63" t="n">
        <v>252421</v>
      </c>
      <c r="S57" s="63"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59" t="n">
        <v>59.99</v>
      </c>
      <c r="H58" s="32" t="inlineStr">
        <is>
          <t>Helium 10 Xray, 2026-10-13</t>
        </is>
      </c>
      <c r="I58" s="60" t="n">
        <v>59.99</v>
      </c>
      <c r="J58" s="61" t="inlineStr">
        <is>
          <t>2026-03-30</t>
        </is>
      </c>
      <c r="K58" s="33" t="n">
        <v>13.3</v>
      </c>
      <c r="L58" s="62" t="n">
        <v>0.2217036172695449</v>
      </c>
      <c r="M58" s="63" t="n">
        <v>0</v>
      </c>
      <c r="N58" s="32" t="inlineStr">
        <is>
          <t>Active</t>
        </is>
      </c>
      <c r="O58" s="32" t="n"/>
      <c r="P58" s="64" t="n">
        <v>4.5</v>
      </c>
      <c r="Q58" s="63" t="n">
        <v>320</v>
      </c>
      <c r="R58" s="63" t="n">
        <v>252428</v>
      </c>
      <c r="S58" s="63"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59" t="n">
        <v>59.99</v>
      </c>
      <c r="H59" s="32" t="inlineStr">
        <is>
          <t>Helium 10 Xray, 2026-10-13</t>
        </is>
      </c>
      <c r="I59" s="60" t="n">
        <v>59.99</v>
      </c>
      <c r="J59" s="61" t="inlineStr">
        <is>
          <t>2026-03-30</t>
        </is>
      </c>
      <c r="K59" s="33" t="n"/>
      <c r="L59" s="62" t="n"/>
      <c r="M59" s="63" t="n">
        <v>0</v>
      </c>
      <c r="N59" s="32" t="inlineStr">
        <is>
          <t>Active</t>
        </is>
      </c>
      <c r="O59" s="32" t="n"/>
      <c r="P59" s="64" t="n">
        <v>4.5</v>
      </c>
      <c r="Q59" s="63" t="n">
        <v>320</v>
      </c>
      <c r="R59" s="63" t="n">
        <v>252421</v>
      </c>
      <c r="S59" s="63"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59" t="n">
        <v>66.98999999999999</v>
      </c>
      <c r="H60" s="32" t="inlineStr">
        <is>
          <t>Helium 10 Xray, 2026-10-13</t>
        </is>
      </c>
      <c r="I60" s="60" t="n">
        <v>59.99</v>
      </c>
      <c r="J60" s="61" t="inlineStr">
        <is>
          <t>2026-03-30</t>
        </is>
      </c>
      <c r="K60" s="33" t="n"/>
      <c r="L60" s="62" t="n"/>
      <c r="M60" s="63" t="n">
        <v>0</v>
      </c>
      <c r="N60" s="32" t="inlineStr">
        <is>
          <t>Active</t>
        </is>
      </c>
      <c r="O60" s="32" t="n"/>
      <c r="P60" s="64" t="n">
        <v>4.5</v>
      </c>
      <c r="Q60" s="63" t="n">
        <v>320</v>
      </c>
      <c r="R60" s="63" t="n">
        <v>252421</v>
      </c>
      <c r="S60" s="63"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0" t="n">
        <v>59.99</v>
      </c>
      <c r="J61" s="61" t="inlineStr">
        <is>
          <t>2026-03-30</t>
        </is>
      </c>
      <c r="K61" s="33" t="n">
        <v>17.54</v>
      </c>
      <c r="L61" s="62" t="n">
        <v>0.2923820636772795</v>
      </c>
      <c r="M61" s="63" t="n"/>
      <c r="N61" s="32" t="inlineStr">
        <is>
          <t>Inactive</t>
        </is>
      </c>
      <c r="O61" s="32" t="n"/>
      <c r="P61" s="64" t="n"/>
      <c r="Q61" s="63" t="n"/>
      <c r="R61" s="63" t="n"/>
      <c r="S61" s="63"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0" t="n">
        <v>59.99</v>
      </c>
      <c r="J62" s="61" t="inlineStr">
        <is>
          <t>2026-03-30</t>
        </is>
      </c>
      <c r="K62" s="33" t="n">
        <v>16.43</v>
      </c>
      <c r="L62" s="62" t="n">
        <v>0.2738789798299717</v>
      </c>
      <c r="M62" s="63" t="n"/>
      <c r="N62" s="32" t="inlineStr">
        <is>
          <t>Inactive</t>
        </is>
      </c>
      <c r="O62" s="32" t="n"/>
      <c r="P62" s="64" t="n"/>
      <c r="Q62" s="63" t="n"/>
      <c r="R62" s="63" t="n"/>
      <c r="S62" s="63"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59" t="n">
        <v>59.99</v>
      </c>
      <c r="H63" s="32" t="inlineStr">
        <is>
          <t>Helium 10 Xray, 2026-10-13</t>
        </is>
      </c>
      <c r="I63" s="60" t="n">
        <v>59.99</v>
      </c>
      <c r="J63" s="61" t="inlineStr">
        <is>
          <t>2026-03-30</t>
        </is>
      </c>
      <c r="K63" s="33" t="n">
        <v>18.36</v>
      </c>
      <c r="L63" s="62" t="n">
        <v>0.3060510085014169</v>
      </c>
      <c r="M63" s="63" t="n">
        <v>0</v>
      </c>
      <c r="N63" s="32" t="inlineStr">
        <is>
          <t>Active</t>
        </is>
      </c>
      <c r="O63" s="32" t="n"/>
      <c r="P63" s="64" t="n">
        <v>4.5</v>
      </c>
      <c r="Q63" s="63" t="n">
        <v>320</v>
      </c>
      <c r="R63" s="63" t="n">
        <v>252421</v>
      </c>
      <c r="S63" s="63"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0" t="n">
        <v>59.99</v>
      </c>
      <c r="J64" s="61" t="inlineStr">
        <is>
          <t>2026-03-30</t>
        </is>
      </c>
      <c r="K64" s="33" t="n">
        <v>16.03</v>
      </c>
      <c r="L64" s="62" t="n">
        <v>0.2672112018669778</v>
      </c>
      <c r="M64" s="63" t="n"/>
      <c r="N64" s="32" t="inlineStr">
        <is>
          <t>Inactive</t>
        </is>
      </c>
      <c r="O64" s="32" t="n"/>
      <c r="P64" s="64" t="n"/>
      <c r="Q64" s="63" t="n"/>
      <c r="R64" s="63" t="n"/>
      <c r="S64" s="63"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0" t="n">
        <v>69.98999999999999</v>
      </c>
      <c r="J65" s="61" t="inlineStr">
        <is>
          <t>2026-03-24</t>
        </is>
      </c>
      <c r="K65" s="33" t="n">
        <v>13.88999999999999</v>
      </c>
      <c r="L65" s="62" t="n">
        <v>0.1984569224174881</v>
      </c>
      <c r="M65" s="63" t="n"/>
      <c r="N65" s="32" t="inlineStr">
        <is>
          <t>Inactive</t>
        </is>
      </c>
      <c r="O65" s="32" t="n"/>
      <c r="P65" s="64" t="n"/>
      <c r="Q65" s="63" t="n"/>
      <c r="R65" s="63" t="n"/>
      <c r="S65" s="63"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0" t="n">
        <v>69.98999999999999</v>
      </c>
      <c r="J66" s="61" t="inlineStr">
        <is>
          <t>2026-03-30</t>
        </is>
      </c>
      <c r="K66" s="33" t="n">
        <v>16.88</v>
      </c>
      <c r="L66" s="62" t="n">
        <v>0.2411773110444349</v>
      </c>
      <c r="M66" s="63" t="n"/>
      <c r="N66" s="32" t="inlineStr">
        <is>
          <t>Inactive</t>
        </is>
      </c>
      <c r="O66" s="32" t="n"/>
      <c r="P66" s="64" t="n"/>
      <c r="Q66" s="63" t="n"/>
      <c r="R66" s="63" t="n"/>
      <c r="S66" s="63"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0" t="n">
        <v>69.98999999999999</v>
      </c>
      <c r="J67" s="61" t="inlineStr">
        <is>
          <t>2026-03-30</t>
        </is>
      </c>
      <c r="K67" s="33" t="n">
        <v>16.88</v>
      </c>
      <c r="L67" s="62" t="n">
        <v>0.2411773110444349</v>
      </c>
      <c r="M67" s="63" t="n"/>
      <c r="N67" s="32" t="inlineStr">
        <is>
          <t>Inactive</t>
        </is>
      </c>
      <c r="O67" s="32" t="n"/>
      <c r="P67" s="64" t="n"/>
      <c r="Q67" s="63" t="n"/>
      <c r="R67" s="63" t="n"/>
      <c r="S67" s="63"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0" t="n">
        <v>69.98999999999999</v>
      </c>
      <c r="J68" s="61" t="inlineStr">
        <is>
          <t>2026-03-30</t>
        </is>
      </c>
      <c r="K68" s="33" t="n">
        <v>18.19</v>
      </c>
      <c r="L68" s="62" t="n">
        <v>0.2598942706100871</v>
      </c>
      <c r="M68" s="63" t="n"/>
      <c r="N68" s="32" t="inlineStr">
        <is>
          <t>Inactive</t>
        </is>
      </c>
      <c r="O68" s="32" t="n"/>
      <c r="P68" s="64" t="n"/>
      <c r="Q68" s="63" t="n"/>
      <c r="R68" s="63" t="n"/>
      <c r="S68" s="63"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0" t="n">
        <v>69.98999999999999</v>
      </c>
      <c r="J69" s="61" t="inlineStr">
        <is>
          <t>2026-03-30</t>
        </is>
      </c>
      <c r="K69" s="33" t="n">
        <v>20.21999999999999</v>
      </c>
      <c r="L69" s="62" t="n">
        <v>0.2888984140591512</v>
      </c>
      <c r="M69" s="63" t="n"/>
      <c r="N69" s="32" t="inlineStr">
        <is>
          <t>Inactive</t>
        </is>
      </c>
      <c r="O69" s="32" t="n"/>
      <c r="P69" s="64" t="n"/>
      <c r="Q69" s="63" t="n"/>
      <c r="R69" s="63" t="n"/>
      <c r="S69" s="63"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0" t="n">
        <v>69.98999999999999</v>
      </c>
      <c r="J70" s="61" t="inlineStr">
        <is>
          <t>2026-03-30</t>
        </is>
      </c>
      <c r="K70" s="33" t="n">
        <v>18.10999999999999</v>
      </c>
      <c r="L70" s="62" t="n">
        <v>0.2587512501785968</v>
      </c>
      <c r="M70" s="63" t="n"/>
      <c r="N70" s="32" t="inlineStr">
        <is>
          <t>Inactive</t>
        </is>
      </c>
      <c r="O70" s="32" t="n"/>
      <c r="P70" s="64" t="n"/>
      <c r="Q70" s="63" t="n"/>
      <c r="R70" s="63" t="n"/>
      <c r="S70" s="63"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0" t="n">
        <v>64.98999999999999</v>
      </c>
      <c r="J71" s="61" t="inlineStr">
        <is>
          <t>2026-03-30</t>
        </is>
      </c>
      <c r="K71" s="33" t="n">
        <v>14.67</v>
      </c>
      <c r="L71" s="62" t="n">
        <v>0.2257270349284505</v>
      </c>
      <c r="M71" s="63" t="n"/>
      <c r="N71" s="32" t="inlineStr">
        <is>
          <t>Inactive</t>
        </is>
      </c>
      <c r="O71" s="32" t="n"/>
      <c r="P71" s="64" t="n"/>
      <c r="Q71" s="63" t="n"/>
      <c r="R71" s="63" t="n"/>
      <c r="S71" s="63"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2" t="n"/>
      <c r="M72" s="63" t="n"/>
      <c r="N72" s="32" t="inlineStr">
        <is>
          <t>Inactive</t>
        </is>
      </c>
      <c r="O72" s="32" t="n"/>
      <c r="P72" s="64" t="n"/>
      <c r="Q72" s="63" t="n"/>
      <c r="R72" s="63" t="n"/>
      <c r="S72" s="63"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0" t="n">
        <v>64.98999999999999</v>
      </c>
      <c r="J73" s="61" t="inlineStr">
        <is>
          <t>2026-03-02</t>
        </is>
      </c>
      <c r="K73" s="33" t="n">
        <v>19.41</v>
      </c>
      <c r="L73" s="62" t="n">
        <v>0.2986613325126942</v>
      </c>
      <c r="M73" s="63" t="n"/>
      <c r="N73" s="32" t="inlineStr">
        <is>
          <t>Inactive</t>
        </is>
      </c>
      <c r="O73" s="32" t="n"/>
      <c r="P73" s="64" t="n"/>
      <c r="Q73" s="63" t="n"/>
      <c r="R73" s="63" t="n"/>
      <c r="S73" s="63"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0" t="n">
        <v>64.98999999999999</v>
      </c>
      <c r="J74" s="61" t="inlineStr">
        <is>
          <t>2026-03-30</t>
        </is>
      </c>
      <c r="K74" s="33" t="n">
        <v>18.66999999999999</v>
      </c>
      <c r="L74" s="62" t="n">
        <v>0.287274965379289</v>
      </c>
      <c r="M74" s="63" t="n"/>
      <c r="N74" s="32" t="inlineStr">
        <is>
          <t>Inactive</t>
        </is>
      </c>
      <c r="O74" s="32" t="n"/>
      <c r="P74" s="64" t="n"/>
      <c r="Q74" s="63" t="n"/>
      <c r="R74" s="63" t="n"/>
      <c r="S74" s="63"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0" t="n">
        <v>64.98999999999999</v>
      </c>
      <c r="J75" s="61" t="inlineStr">
        <is>
          <t>2026-03-20</t>
        </is>
      </c>
      <c r="K75" s="33" t="n">
        <v>19.26</v>
      </c>
      <c r="L75" s="62" t="n">
        <v>0.2963532851207878</v>
      </c>
      <c r="M75" s="63" t="n"/>
      <c r="N75" s="32" t="inlineStr">
        <is>
          <t>Inactive</t>
        </is>
      </c>
      <c r="O75" s="32" t="n"/>
      <c r="P75" s="64" t="n"/>
      <c r="Q75" s="63" t="n"/>
      <c r="R75" s="63" t="n"/>
      <c r="S75" s="63"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0" t="n">
        <v>64.98999999999999</v>
      </c>
      <c r="J76" s="61" t="inlineStr">
        <is>
          <t>2026-03-30</t>
        </is>
      </c>
      <c r="K76" s="33" t="n">
        <v>19.98</v>
      </c>
      <c r="L76" s="62" t="n">
        <v>0.3074319126019388</v>
      </c>
      <c r="M76" s="63" t="n"/>
      <c r="N76" s="32" t="inlineStr">
        <is>
          <t>Inactive</t>
        </is>
      </c>
      <c r="O76" s="32" t="n"/>
      <c r="P76" s="64" t="n"/>
      <c r="Q76" s="63" t="n"/>
      <c r="R76" s="63" t="n"/>
      <c r="S76" s="63"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2" t="n"/>
      <c r="M77" s="63" t="n"/>
      <c r="N77" s="32" t="inlineStr">
        <is>
          <t>Inactive</t>
        </is>
      </c>
      <c r="O77" s="32" t="n"/>
      <c r="P77" s="64" t="n"/>
      <c r="Q77" s="63" t="n"/>
      <c r="R77" s="63" t="n"/>
      <c r="S77" s="63"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2" t="n"/>
      <c r="M78" s="63" t="n"/>
      <c r="N78" s="32" t="inlineStr">
        <is>
          <t>Inactive</t>
        </is>
      </c>
      <c r="O78" s="32" t="n"/>
      <c r="P78" s="64" t="n"/>
      <c r="Q78" s="63" t="n"/>
      <c r="R78" s="63" t="n"/>
      <c r="S78" s="63"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0" t="n">
        <v>64.98999999999999</v>
      </c>
      <c r="J79" s="61" t="inlineStr">
        <is>
          <t>2026-03-30</t>
        </is>
      </c>
      <c r="K79" s="33" t="n">
        <v>20.8</v>
      </c>
      <c r="L79" s="62" t="n">
        <v>0.3200492383443606</v>
      </c>
      <c r="M79" s="63" t="n"/>
      <c r="N79" s="32" t="inlineStr">
        <is>
          <t>Inactive</t>
        </is>
      </c>
      <c r="O79" s="32" t="n"/>
      <c r="P79" s="64" t="n"/>
      <c r="Q79" s="63" t="n"/>
      <c r="R79" s="63" t="n"/>
      <c r="S79" s="63"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0" t="n">
        <v>64.98999999999999</v>
      </c>
      <c r="J80" s="61" t="inlineStr">
        <is>
          <t>2026-03-30</t>
        </is>
      </c>
      <c r="K80" s="33" t="n">
        <v>20.8</v>
      </c>
      <c r="L80" s="62" t="n">
        <v>0.3200492383443606</v>
      </c>
      <c r="M80" s="63" t="n"/>
      <c r="N80" s="32" t="inlineStr">
        <is>
          <t>Inactive</t>
        </is>
      </c>
      <c r="O80" s="32" t="n"/>
      <c r="P80" s="64" t="n"/>
      <c r="Q80" s="63" t="n"/>
      <c r="R80" s="63" t="n"/>
      <c r="S80" s="63"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0" t="n">
        <v>64.98999999999999</v>
      </c>
      <c r="J81" s="61" t="inlineStr">
        <is>
          <t>2026-03-22</t>
        </is>
      </c>
      <c r="K81" s="33" t="n">
        <v>19.58</v>
      </c>
      <c r="L81" s="62" t="n">
        <v>0.3012771195568549</v>
      </c>
      <c r="M81" s="63" t="n"/>
      <c r="N81" s="32" t="inlineStr">
        <is>
          <t>Inactive</t>
        </is>
      </c>
      <c r="O81" s="32" t="n"/>
      <c r="P81" s="64" t="n"/>
      <c r="Q81" s="63" t="n"/>
      <c r="R81" s="63" t="n"/>
      <c r="S81" s="63"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0" t="n">
        <v>64.98999999999999</v>
      </c>
      <c r="J82" s="61" t="inlineStr">
        <is>
          <t>2026-03-30</t>
        </is>
      </c>
      <c r="K82" s="33" t="n">
        <v>20.88</v>
      </c>
      <c r="L82" s="62" t="n">
        <v>0.3212801969533774</v>
      </c>
      <c r="M82" s="63" t="n"/>
      <c r="N82" s="32" t="inlineStr">
        <is>
          <t>Inactive</t>
        </is>
      </c>
      <c r="O82" s="32" t="n"/>
      <c r="P82" s="64" t="n"/>
      <c r="Q82" s="63" t="n"/>
      <c r="R82" s="63" t="n"/>
      <c r="S82" s="63"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0" t="n">
        <v>64.98999999999999</v>
      </c>
      <c r="J83" s="61" t="inlineStr">
        <is>
          <t>2026-03-12</t>
        </is>
      </c>
      <c r="K83" s="33" t="n">
        <v>19.58</v>
      </c>
      <c r="L83" s="62" t="n">
        <v>0.3012771195568549</v>
      </c>
      <c r="M83" s="63" t="n"/>
      <c r="N83" s="32" t="inlineStr">
        <is>
          <t>Inactive</t>
        </is>
      </c>
      <c r="O83" s="32" t="n"/>
      <c r="P83" s="64" t="n"/>
      <c r="Q83" s="63" t="n"/>
      <c r="R83" s="63" t="n"/>
      <c r="S83" s="63"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0" t="n">
        <v>64.98999999999999</v>
      </c>
      <c r="J84" s="61" t="inlineStr">
        <is>
          <t>2026-03-30</t>
        </is>
      </c>
      <c r="K84" s="33" t="n">
        <v>21.52999999999999</v>
      </c>
      <c r="L84" s="62" t="n">
        <v>0.3312817356516387</v>
      </c>
      <c r="M84" s="63" t="n"/>
      <c r="N84" s="32" t="inlineStr">
        <is>
          <t>Inactive</t>
        </is>
      </c>
      <c r="O84" s="32" t="n"/>
      <c r="P84" s="64" t="n"/>
      <c r="Q84" s="63" t="n"/>
      <c r="R84" s="63" t="n"/>
      <c r="S84" s="63"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0" t="n">
        <v>64.98999999999999</v>
      </c>
      <c r="J85" s="61" t="inlineStr">
        <is>
          <t>2026-02-26</t>
        </is>
      </c>
      <c r="K85" s="33" t="n">
        <v>18.44</v>
      </c>
      <c r="L85" s="62" t="n">
        <v>0.2837359593783659</v>
      </c>
      <c r="M85" s="63" t="n"/>
      <c r="N85" s="32" t="inlineStr">
        <is>
          <t>Inactive</t>
        </is>
      </c>
      <c r="O85" s="32" t="n"/>
      <c r="P85" s="64" t="n"/>
      <c r="Q85" s="63" t="n"/>
      <c r="R85" s="63" t="n"/>
      <c r="S85" s="63"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0" t="n">
        <v>64.98999999999999</v>
      </c>
      <c r="J86" s="61" t="inlineStr">
        <is>
          <t>2026-03-30</t>
        </is>
      </c>
      <c r="K86" s="33" t="n">
        <v>18.59</v>
      </c>
      <c r="L86" s="62" t="n">
        <v>0.2860440067702723</v>
      </c>
      <c r="M86" s="63" t="n"/>
      <c r="N86" s="32" t="inlineStr">
        <is>
          <t>Inactive</t>
        </is>
      </c>
      <c r="O86" s="32" t="n"/>
      <c r="P86" s="64" t="n"/>
      <c r="Q86" s="63" t="n"/>
      <c r="R86" s="63" t="n"/>
      <c r="S86" s="63"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59" t="n">
        <v>61.99</v>
      </c>
      <c r="H87" s="32" t="inlineStr">
        <is>
          <t>Helium 10 Xray, 2026-10-13</t>
        </is>
      </c>
      <c r="I87" s="33" t="n"/>
      <c r="J87" s="32" t="n"/>
      <c r="K87" s="33" t="n"/>
      <c r="L87" s="62" t="n"/>
      <c r="M87" s="63" t="n"/>
      <c r="N87" s="32" t="inlineStr">
        <is>
          <t>Active</t>
        </is>
      </c>
      <c r="O87" s="32" t="n"/>
      <c r="P87" s="64" t="n">
        <v>4.5</v>
      </c>
      <c r="Q87" s="63" t="n">
        <v>320</v>
      </c>
      <c r="R87" s="63" t="n">
        <v>252421</v>
      </c>
      <c r="S87" s="63"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59" t="n">
        <v>54.99</v>
      </c>
      <c r="H88" s="32" t="inlineStr">
        <is>
          <t>Helium 10 Xray, 2026-10-13</t>
        </is>
      </c>
      <c r="I88" s="33" t="n"/>
      <c r="J88" s="32" t="n"/>
      <c r="K88" s="33" t="n"/>
      <c r="L88" s="62" t="n"/>
      <c r="M88" s="63" t="n"/>
      <c r="N88" s="32" t="inlineStr">
        <is>
          <t>Active</t>
        </is>
      </c>
      <c r="O88" s="32" t="n"/>
      <c r="P88" s="64" t="n">
        <v>4.5</v>
      </c>
      <c r="Q88" s="63" t="n">
        <v>320</v>
      </c>
      <c r="R88" s="63" t="n">
        <v>252421</v>
      </c>
      <c r="S88" s="63"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59" t="n">
        <v>61.99</v>
      </c>
      <c r="H89" s="32" t="inlineStr">
        <is>
          <t>Helium 10 Xray, 2026-10-13</t>
        </is>
      </c>
      <c r="I89" s="33" t="n"/>
      <c r="J89" s="32" t="n"/>
      <c r="K89" s="33" t="n"/>
      <c r="L89" s="62" t="n"/>
      <c r="M89" s="63" t="n"/>
      <c r="N89" s="32" t="inlineStr">
        <is>
          <t>Active</t>
        </is>
      </c>
      <c r="O89" s="32" t="n"/>
      <c r="P89" s="64" t="n">
        <v>4.5</v>
      </c>
      <c r="Q89" s="63" t="n">
        <v>320</v>
      </c>
      <c r="R89" s="63" t="n">
        <v>252428</v>
      </c>
      <c r="S89" s="63"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59" t="n">
        <v>54.99</v>
      </c>
      <c r="H90" s="32" t="inlineStr">
        <is>
          <t>Helium 10 Xray, 2026-10-13</t>
        </is>
      </c>
      <c r="I90" s="33" t="n"/>
      <c r="J90" s="32" t="n"/>
      <c r="K90" s="33" t="n"/>
      <c r="L90" s="62" t="n"/>
      <c r="M90" s="63" t="n"/>
      <c r="N90" s="32" t="inlineStr">
        <is>
          <t>Active</t>
        </is>
      </c>
      <c r="O90" s="32" t="n"/>
      <c r="P90" s="64" t="n">
        <v>4.5</v>
      </c>
      <c r="Q90" s="63" t="n">
        <v>320</v>
      </c>
      <c r="R90" s="63" t="n">
        <v>252428</v>
      </c>
      <c r="S90" s="63"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59" t="n">
        <v>61.99</v>
      </c>
      <c r="H91" s="32" t="inlineStr">
        <is>
          <t>Helium 10 Xray, 2026-10-13</t>
        </is>
      </c>
      <c r="I91" s="60" t="n">
        <v>54.99</v>
      </c>
      <c r="J91" s="61" t="inlineStr">
        <is>
          <t>2026-03-30</t>
        </is>
      </c>
      <c r="K91" s="33" t="n">
        <v>15.86</v>
      </c>
      <c r="L91" s="62" t="n">
        <v>0.2884160756501182</v>
      </c>
      <c r="M91" s="63" t="n">
        <v>0</v>
      </c>
      <c r="N91" s="32" t="inlineStr">
        <is>
          <t>Active</t>
        </is>
      </c>
      <c r="O91" s="32" t="n"/>
      <c r="P91" s="64" t="n">
        <v>4.5</v>
      </c>
      <c r="Q91" s="63" t="n">
        <v>320</v>
      </c>
      <c r="R91" s="63" t="n">
        <v>252421</v>
      </c>
      <c r="S91" s="63"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59" t="n">
        <v>54.99</v>
      </c>
      <c r="H92" s="32" t="inlineStr">
        <is>
          <t>Helium 10 Xray, 2026-10-13</t>
        </is>
      </c>
      <c r="I92" s="60" t="n">
        <v>54.99</v>
      </c>
      <c r="J92" s="61" t="inlineStr">
        <is>
          <t>2026-03-30</t>
        </is>
      </c>
      <c r="K92" s="33" t="n">
        <v>18.52</v>
      </c>
      <c r="L92" s="62" t="n">
        <v>0.3367885070012729</v>
      </c>
      <c r="M92" s="63" t="n">
        <v>0</v>
      </c>
      <c r="N92" s="32" t="inlineStr">
        <is>
          <t>Active</t>
        </is>
      </c>
      <c r="O92" s="32" t="n"/>
      <c r="P92" s="64" t="n">
        <v>4.5</v>
      </c>
      <c r="Q92" s="63" t="n">
        <v>320</v>
      </c>
      <c r="R92" s="63" t="n">
        <v>252421</v>
      </c>
      <c r="S92" s="63"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59" t="n">
        <v>54.99</v>
      </c>
      <c r="H93" s="32" t="inlineStr">
        <is>
          <t>Helium 10 Xray, 2026-10-13</t>
        </is>
      </c>
      <c r="I93" s="60" t="n">
        <v>59.99</v>
      </c>
      <c r="J93" s="61" t="inlineStr">
        <is>
          <t>2026-03-30</t>
        </is>
      </c>
      <c r="K93" s="33" t="n">
        <v>20.16</v>
      </c>
      <c r="L93" s="62" t="n">
        <v>0.3360560093348892</v>
      </c>
      <c r="M93" s="63" t="n">
        <v>0</v>
      </c>
      <c r="N93" s="32" t="inlineStr">
        <is>
          <t>Active</t>
        </is>
      </c>
      <c r="O93" s="32" t="n"/>
      <c r="P93" s="64" t="n">
        <v>4.5</v>
      </c>
      <c r="Q93" s="63" t="n">
        <v>320</v>
      </c>
      <c r="R93" s="63" t="n">
        <v>252421</v>
      </c>
      <c r="S93" s="63"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59" t="n">
        <v>61.99</v>
      </c>
      <c r="H94" s="32" t="inlineStr">
        <is>
          <t>Helium 10 Xray, 2026-10-13</t>
        </is>
      </c>
      <c r="I94" s="60" t="n">
        <v>54.99</v>
      </c>
      <c r="J94" s="61" t="inlineStr">
        <is>
          <t>2026-03-30</t>
        </is>
      </c>
      <c r="K94" s="33" t="n">
        <v>18.52</v>
      </c>
      <c r="L94" s="62" t="n">
        <v>0.3367885070012729</v>
      </c>
      <c r="M94" s="63" t="n">
        <v>0</v>
      </c>
      <c r="N94" s="32" t="inlineStr">
        <is>
          <t>Active</t>
        </is>
      </c>
      <c r="O94" s="32" t="n"/>
      <c r="P94" s="64" t="n">
        <v>4.5</v>
      </c>
      <c r="Q94" s="63" t="n">
        <v>320</v>
      </c>
      <c r="R94" s="63" t="n">
        <v>252428</v>
      </c>
      <c r="S94" s="63"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59" t="n">
        <v>54.99</v>
      </c>
      <c r="H95" s="32" t="inlineStr">
        <is>
          <t>Helium 10 Xray, 2026-10-13</t>
        </is>
      </c>
      <c r="I95" s="60" t="n">
        <v>54.99</v>
      </c>
      <c r="J95" s="61" t="inlineStr">
        <is>
          <t>2026-03-30</t>
        </is>
      </c>
      <c r="K95" s="33" t="n">
        <v>18.52</v>
      </c>
      <c r="L95" s="62" t="n">
        <v>0.3367885070012729</v>
      </c>
      <c r="M95" s="63" t="n">
        <v>0</v>
      </c>
      <c r="N95" s="32" t="inlineStr">
        <is>
          <t>Active</t>
        </is>
      </c>
      <c r="O95" s="32" t="n"/>
      <c r="P95" s="64" t="n">
        <v>4.5</v>
      </c>
      <c r="Q95" s="63" t="n">
        <v>320</v>
      </c>
      <c r="R95" s="63" t="n">
        <v>252421</v>
      </c>
      <c r="S95" s="63"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59" t="n">
        <v>54.99</v>
      </c>
      <c r="H96" s="32" t="inlineStr">
        <is>
          <t>Helium 10 Xray, 2026-10-13</t>
        </is>
      </c>
      <c r="I96" s="60" t="n">
        <v>54.99</v>
      </c>
      <c r="J96" s="61" t="inlineStr">
        <is>
          <t>2026-03-30</t>
        </is>
      </c>
      <c r="K96" s="33" t="n">
        <v>15.89</v>
      </c>
      <c r="L96" s="62" t="n">
        <v>0.2889616293871613</v>
      </c>
      <c r="M96" s="63" t="n">
        <v>0</v>
      </c>
      <c r="N96" s="32" t="inlineStr">
        <is>
          <t>Active</t>
        </is>
      </c>
      <c r="O96" s="32" t="n"/>
      <c r="P96" s="64" t="n">
        <v>4.5</v>
      </c>
      <c r="Q96" s="63" t="n">
        <v>320</v>
      </c>
      <c r="R96" s="63" t="n">
        <v>252428</v>
      </c>
      <c r="S96" s="63"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59" t="n">
        <v>54.99</v>
      </c>
      <c r="H97" s="32" t="inlineStr">
        <is>
          <t>Helium 10 Xray, 2026-10-13</t>
        </is>
      </c>
      <c r="I97" s="60" t="n">
        <v>59.99</v>
      </c>
      <c r="J97" s="61" t="inlineStr">
        <is>
          <t>2026-03-30</t>
        </is>
      </c>
      <c r="K97" s="33" t="n">
        <v>22.77</v>
      </c>
      <c r="L97" s="62" t="n">
        <v>0.3795632605434239</v>
      </c>
      <c r="M97" s="63" t="n">
        <v>0</v>
      </c>
      <c r="N97" s="32" t="inlineStr">
        <is>
          <t>Active</t>
        </is>
      </c>
      <c r="O97" s="32" t="n"/>
      <c r="P97" s="64" t="n">
        <v>4.5</v>
      </c>
      <c r="Q97" s="63" t="n">
        <v>320</v>
      </c>
      <c r="R97" s="63" t="n">
        <v>252428</v>
      </c>
      <c r="S97" s="63"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59" t="n">
        <v>54.99</v>
      </c>
      <c r="H98" s="32" t="inlineStr">
        <is>
          <t>Helium 10 Xray, 2026-10-13</t>
        </is>
      </c>
      <c r="I98" s="60" t="n">
        <v>54.99</v>
      </c>
      <c r="J98" s="61" t="inlineStr">
        <is>
          <t>2026-03-30</t>
        </is>
      </c>
      <c r="K98" s="33" t="n">
        <v>18.52</v>
      </c>
      <c r="L98" s="62" t="n">
        <v>0.3367885070012729</v>
      </c>
      <c r="M98" s="63" t="n">
        <v>0</v>
      </c>
      <c r="N98" s="32" t="inlineStr">
        <is>
          <t>Active</t>
        </is>
      </c>
      <c r="O98" s="32" t="n"/>
      <c r="P98" s="64" t="n">
        <v>4.5</v>
      </c>
      <c r="Q98" s="63" t="n">
        <v>320</v>
      </c>
      <c r="R98" s="63" t="n">
        <v>252421</v>
      </c>
      <c r="S98" s="63"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0" t="n">
        <v>54.99</v>
      </c>
      <c r="J99" s="61" t="inlineStr">
        <is>
          <t>2026-03-30</t>
        </is>
      </c>
      <c r="K99" s="33" t="n">
        <v>18.52</v>
      </c>
      <c r="L99" s="62" t="n">
        <v>0.3367885070012729</v>
      </c>
      <c r="M99" s="63" t="n"/>
      <c r="N99" s="32" t="inlineStr">
        <is>
          <t>Inactive</t>
        </is>
      </c>
      <c r="O99" s="32" t="n"/>
      <c r="P99" s="64" t="n"/>
      <c r="Q99" s="63" t="n"/>
      <c r="R99" s="63" t="n"/>
      <c r="S99" s="63" t="n"/>
      <c r="T99" s="32" t="n"/>
    </row>
    <row r="101" ht="20" customHeight="1">
      <c r="A101" s="53" t="inlineStr">
        <is>
          <t>3 · OUR BFCM 2025 RESULT &amp; EVENT VISIBILITY</t>
        </is>
      </c>
    </row>
    <row r="102">
      <c r="A102" s="66" t="inlineStr">
        <is>
          <t>Window</t>
        </is>
      </c>
      <c r="B102" s="67" t="n"/>
      <c r="C102" s="68" t="n"/>
      <c r="D102" s="66" t="inlineStr">
        <is>
          <t>Ad spend</t>
        </is>
      </c>
      <c r="E102" s="66" t="inlineStr">
        <is>
          <t>Ad sales</t>
        </is>
      </c>
      <c r="F102" s="66" t="inlineStr">
        <is>
          <t>ACoS</t>
        </is>
      </c>
      <c r="G102" s="66" t="inlineStr">
        <is>
          <t>TACoS</t>
        </is>
      </c>
      <c r="H102" s="66" t="inlineStr">
        <is>
          <t>Total sales (derived)</t>
        </is>
      </c>
      <c r="J102" s="66" t="inlineStr">
        <is>
          <t>Ad orders</t>
        </is>
      </c>
      <c r="K102" s="66" t="inlineStr">
        <is>
          <t>CVR</t>
        </is>
      </c>
    </row>
    <row r="103">
      <c r="A103" s="69" t="inlineStr">
        <is>
          <t>Pre-event Oct 21 - Nov 19, 2025 (30d)</t>
        </is>
      </c>
      <c r="B103" s="67" t="n"/>
      <c r="C103" s="68" t="n"/>
      <c r="D103" s="70" t="n">
        <v>9894.259999999998</v>
      </c>
      <c r="E103" s="70" t="n">
        <v>17274.95</v>
      </c>
      <c r="F103" s="71" t="n">
        <v>57.3</v>
      </c>
      <c r="G103" s="71" t="n">
        <v>35.48896657152019</v>
      </c>
      <c r="H103" s="70" t="n">
        <v>27879.82</v>
      </c>
      <c r="J103" s="72" t="n">
        <v>248</v>
      </c>
      <c r="K103" s="73" t="n">
        <v>14.84</v>
      </c>
    </row>
    <row r="104">
      <c r="A104" s="69" t="inlineStr">
        <is>
          <t>BFCM week Nov 20 - Dec 1, 2025 (12d)</t>
        </is>
      </c>
      <c r="B104" s="67" t="n"/>
      <c r="C104" s="68" t="n"/>
      <c r="D104" s="70" t="n">
        <v>2505.4</v>
      </c>
      <c r="E104" s="70" t="n">
        <v>6125.46</v>
      </c>
      <c r="F104" s="71" t="n">
        <v>40.9</v>
      </c>
      <c r="G104" s="71" t="n">
        <v>18.70162054834399</v>
      </c>
      <c r="H104" s="70" t="n">
        <v>13396.7</v>
      </c>
      <c r="J104" s="72" t="n">
        <v>105</v>
      </c>
      <c r="K104" s="73" t="n">
        <v>20.43</v>
      </c>
    </row>
    <row r="105">
      <c r="A105" s="69" t="inlineStr">
        <is>
          <t>December 2 - 31, 2025 (30d)</t>
        </is>
      </c>
      <c r="B105" s="67" t="n"/>
      <c r="C105" s="68" t="n"/>
      <c r="D105" s="70" t="n">
        <v>15155.59</v>
      </c>
      <c r="E105" s="70" t="n">
        <v>38951.74000000001</v>
      </c>
      <c r="F105" s="71" t="n">
        <v>38.9</v>
      </c>
      <c r="G105" s="71" t="n">
        <v>24.00677517528382</v>
      </c>
      <c r="H105" s="70" t="n">
        <v>63130.47</v>
      </c>
      <c r="J105" s="72" t="n">
        <v>572</v>
      </c>
      <c r="K105" s="73" t="n">
        <v>19.56</v>
      </c>
    </row>
    <row r="107">
      <c r="A107" s="66" t="inlineStr">
        <is>
          <t>Actual sales (SellerBoard)</t>
        </is>
      </c>
      <c r="B107" s="67" t="n"/>
      <c r="C107" s="68" t="n"/>
      <c r="D107" s="66" t="inlineStr">
        <is>
          <t>Sales</t>
        </is>
      </c>
      <c r="E107" s="66" t="inlineStr">
        <is>
          <t>Units</t>
        </is>
      </c>
      <c r="F107" s="66" t="inlineStr">
        <is>
          <t>Organic units</t>
        </is>
      </c>
      <c r="G107" s="66" t="inlineStr">
        <is>
          <t>Ad units</t>
        </is>
      </c>
      <c r="H107" s="66" t="inlineStr">
        <is>
          <t>Ad cost</t>
        </is>
      </c>
      <c r="J107" s="66" t="inlineStr">
        <is>
          <t>TACoS (actual)</t>
        </is>
      </c>
      <c r="K107" s="66" t="inlineStr">
        <is>
          <t>Sessions</t>
        </is>
      </c>
      <c r="L107" s="66" t="inlineStr">
        <is>
          <t>Unit session %</t>
        </is>
      </c>
      <c r="M107" s="66" t="inlineStr">
        <is>
          <t>Avg price</t>
        </is>
      </c>
      <c r="N107" s="66" t="inlineStr">
        <is>
          <t>Refunds</t>
        </is>
      </c>
    </row>
    <row r="108">
      <c r="A108" s="69" t="inlineStr">
        <is>
          <t>Pre-event Oct 21 - Nov 19, 2025 (30d)</t>
        </is>
      </c>
      <c r="B108" s="67" t="n"/>
      <c r="C108" s="68" t="n"/>
      <c r="D108" s="70" t="n">
        <v>27879.82</v>
      </c>
      <c r="E108" s="72" t="n">
        <v>423</v>
      </c>
      <c r="F108" s="72" t="n">
        <v>376</v>
      </c>
      <c r="G108" s="72" t="n">
        <v>47</v>
      </c>
      <c r="H108" s="70" t="n">
        <v>9894.26</v>
      </c>
      <c r="J108" s="74" t="n">
        <v>0.3548896657152019</v>
      </c>
      <c r="K108" s="72" t="n">
        <v>6527</v>
      </c>
      <c r="L108" s="74" t="n">
        <v>0.06480772177110464</v>
      </c>
      <c r="M108" s="75" t="n">
        <v>65.90973995271868</v>
      </c>
      <c r="N108" s="72" t="n">
        <v>40</v>
      </c>
    </row>
    <row r="109">
      <c r="A109" s="69" t="inlineStr">
        <is>
          <t>BFCM week Nov 20 - Dec 1, 2025 (12d)</t>
        </is>
      </c>
      <c r="B109" s="67" t="n"/>
      <c r="C109" s="68" t="n"/>
      <c r="D109" s="70" t="n">
        <v>13396.7</v>
      </c>
      <c r="E109" s="72" t="n">
        <v>231</v>
      </c>
      <c r="F109" s="72" t="n">
        <v>213</v>
      </c>
      <c r="G109" s="72" t="n">
        <v>18</v>
      </c>
      <c r="H109" s="70" t="n">
        <v>2505.46</v>
      </c>
      <c r="J109" s="74" t="n">
        <v>0.1870206841983474</v>
      </c>
      <c r="K109" s="72" t="n">
        <v>2834</v>
      </c>
      <c r="L109" s="74" t="n">
        <v>0.08151023288637967</v>
      </c>
      <c r="M109" s="75" t="n">
        <v>57.9943722943723</v>
      </c>
      <c r="N109" s="72" t="n">
        <v>7</v>
      </c>
    </row>
    <row r="110">
      <c r="A110" s="69" t="inlineStr">
        <is>
          <t>December 2 - 31, 2025 (30d)</t>
        </is>
      </c>
      <c r="B110" s="67" t="n"/>
      <c r="C110" s="68" t="n"/>
      <c r="D110" s="70" t="n">
        <v>63405.42</v>
      </c>
      <c r="E110" s="72" t="n">
        <v>963</v>
      </c>
      <c r="F110" s="72" t="n">
        <v>869</v>
      </c>
      <c r="G110" s="72" t="n">
        <v>94</v>
      </c>
      <c r="H110" s="70" t="n">
        <v>15155.59</v>
      </c>
      <c r="J110" s="74" t="n">
        <v>0.2390267267372411</v>
      </c>
      <c r="K110" s="72" t="n">
        <v>11372</v>
      </c>
      <c r="L110" s="74" t="n">
        <v>0.08468167428772423</v>
      </c>
      <c r="M110" s="75" t="n">
        <v>65.84155763239875</v>
      </c>
      <c r="N110" s="72" t="n">
        <v>51</v>
      </c>
    </row>
    <row r="111">
      <c r="A111" s="58" t="inlineStr">
        <is>
          <t>SellerBoard, Ecotero account, Amazon parent B0HBWXDWJ5 plus any of this product's child ASINs SellerBoard lists on their own, UTC days. Lift above uses these actual sales (1.20x; the ad-spend estimate was 1.20x).</t>
        </is>
      </c>
    </row>
    <row r="112" ht="18" customHeight="1">
      <c r="A112" s="76" t="inlineStr">
        <is>
          <t>Deals Nov 1 - Dec 5, 2025: no record returned by the DataHub promotions feed. Unknown, not proof that no deal ran.</t>
        </is>
      </c>
    </row>
    <row r="113" ht="18" customHeight="1">
      <c r="A113" s="77" t="inlineStr">
        <is>
          <t>BFCM 2026 plan (BM, Oct 15, 2026): Best Deal 11/19-11/30. Deal price and depth not yet given; not yet visible in Amazon's deal feed.</t>
        </is>
      </c>
    </row>
    <row r="114" ht="18" customHeight="1">
      <c r="A114" s="78" t="inlineStr">
        <is>
          <t>Pre-BFCM deal decision (Slack): Oct 14-27 Best Deal: cancel recommended (4.3 units a day Oct 1-10, no lift from Prime Big Deal Days). [Umair Tahir, #deals, 2026-10-13]</t>
        </is>
      </c>
    </row>
    <row r="115" ht="18" customHeight="1">
      <c r="A115" s="79" t="inlineStr">
        <is>
          <t>ASSUMED 2026 deal prices, until BM's final: B0DDTYDHVB today $69.99; $59.49 at 15% off (Nov 19-26) and $55.99 at 20% off (Nov 27-30 (Black Friday to Cyber Monday)). Rule: Umair Tahir via Shayan Rana, Oct 15, 2026. Evidence: our BFCM 2025 deal on B0DDTYDHVB (US, Keepa): $69.99 before, $69.99 during, 0% off; US competitors' median price cut in BFCM 2025: 24% (4 rivals). Amazon may use a lower reference price than today's (it sets it the day before the deal), which would lower the deal price.</t>
        </is>
      </c>
    </row>
    <row r="116" ht="30" customHeight="1">
      <c r="A116" s="76"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7" ht="30" customHeight="1">
      <c r="A117"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8" ht="40" customHeight="1">
      <c r="A118" s="76"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9">
      <c r="A119" s="58" t="inlineStr">
        <is>
          <t>Command Center visibility for our best child B0DDTYDHVB: organic score 0.5 before BFCM 2025 → 1.0 in BFCM week; Prime Day 2026 31.2 → 6.2; Aug-Sep 2026 45.3.</t>
        </is>
      </c>
    </row>
    <row r="121" ht="20" customHeight="1">
      <c r="A121" s="53" t="inlineStr">
        <is>
          <t>4 · COMPETITOR LANDSCAPE (30 mapped)</t>
        </is>
      </c>
    </row>
    <row r="122">
      <c r="A122" s="58" t="inlineStr">
        <is>
          <t>Sorted by tier, then estimated weekly units. Green = Command Center price/sales; blue = Data Dive listing; purple = Command Center search strategy (ASINsight); yellow = fill from Keepa / page check.</t>
        </is>
      </c>
    </row>
    <row r="123">
      <c r="A123" s="80" t="inlineStr">
        <is>
          <t>COMPETITOR</t>
        </is>
      </c>
      <c r="I123" s="81" t="inlineStr">
        <is>
          <t>LISTING - Data Dive</t>
        </is>
      </c>
      <c r="J123" s="82" t="inlineStr">
        <is>
          <t>SEARCH STRATEGY - Command Center ASINsight</t>
        </is>
      </c>
      <c r="K123" s="83" t="inlineStr">
        <is>
          <t>PRICE &amp; SALES - Command Center snapshot (date per row)</t>
        </is>
      </c>
      <c r="X123" s="81" t="inlineStr">
        <is>
          <t>LISTING - Data Dive</t>
        </is>
      </c>
      <c r="AA123" s="82" t="inlineStr">
        <is>
          <t>SEARCH STRATEGY - Command Center ASINsight</t>
        </is>
      </c>
      <c r="AR123" s="84" t="inlineStr">
        <is>
          <t>STR NOW - Amazon page check (Oct 13, P1 + P2)</t>
        </is>
      </c>
      <c r="AY123" s="85"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_xlfn.IMAGE("https://images-na.ssl-images-amazon.com/images/I/91dfner9BkL.jpg")</f>
        <v/>
      </c>
      <c r="B125" s="86" t="inlineStr">
        <is>
          <t>Pure Bamboo</t>
        </is>
      </c>
      <c r="C125" s="32" t="inlineStr">
        <is>
          <t>Pure Bamboo King Sheets, Genuine 100% Organic Viscose Derived from Bamboo Bed Sheet Set, Luxuriously Soft &amp; Cooling, Double Stitching, 2 Year Quality Promise (King, Ivory)</t>
        </is>
      </c>
      <c r="D125" s="86" t="inlineStr">
        <is>
          <t>Aspirational</t>
        </is>
      </c>
      <c r="E125" s="87" t="inlineStr">
        <is>
          <t>B0CZQ52MTQ</t>
        </is>
      </c>
      <c r="F125" s="87" t="inlineStr">
        <is>
          <t>B07DZTQ4JC</t>
        </is>
      </c>
      <c r="G125" s="86" t="inlineStr">
        <is>
          <t>King</t>
        </is>
      </c>
      <c r="H125" s="86" t="inlineStr">
        <is>
          <t>Ivory</t>
        </is>
      </c>
      <c r="I125" s="88" t="n">
        <v>181</v>
      </c>
      <c r="J125" s="32" t="inlineStr">
        <is>
          <t>B07MZ4GKZH (30%), B079RXWGSD (12%), B07DZTQ4JC (11%), B074CHDX7V (10%), B07DZMB498 (5%)</t>
        </is>
      </c>
      <c r="K125" s="89" t="n">
        <v>109.99</v>
      </c>
      <c r="L125" s="89" t="n"/>
      <c r="M125" s="90">
        <f>IF(AND(ISNUMBER(L125),ISNUMBER(K125),N(K125)&gt;0),L125/K125-1,"")</f>
        <v/>
      </c>
      <c r="N125" s="91">
        <f>IF(M125="","No List Price",IF(M125&lt;=0,"At/below price",IF(M125&lt;=0.12,"&lt;=12% STR zone",IF(M125&lt;=0.25,"12-25%","&gt;25% over"))))</f>
        <v/>
      </c>
      <c r="O125" s="89" t="n">
        <v>69.98999999999999</v>
      </c>
      <c r="P125" s="92">
        <f>IF(AND(ISNUMBER(K125),ISNUMBER(O125),N(O125)&gt;0),K125/O125-1,"")</f>
        <v/>
      </c>
      <c r="Q125" s="32" t="inlineStr">
        <is>
          <t>Same size (King). Ours live: Helium 10 Xray, 2026-10-13; 5 children</t>
        </is>
      </c>
      <c r="R125" s="88" t="n">
        <v>304</v>
      </c>
      <c r="S125" s="88" t="n">
        <v>809</v>
      </c>
      <c r="T125" s="93">
        <f>IF(AND(ISNUMBER(K125),ISNUMBER(S125)),K125*S125*52/12,"")</f>
        <v/>
      </c>
      <c r="U125" s="94" t="n">
        <v>4.5</v>
      </c>
      <c r="V125" s="88" t="n">
        <v>21927</v>
      </c>
      <c r="W125" s="95" t="n">
        <v>46307</v>
      </c>
      <c r="X125" s="95" t="n">
        <v>43281</v>
      </c>
      <c r="Y125" s="86" t="inlineStr">
        <is>
          <t>FBA</t>
        </is>
      </c>
      <c r="Z125" s="86" t="inlineStr">
        <is>
          <t>US</t>
        </is>
      </c>
      <c r="AA125" s="88" t="n">
        <v>2565055</v>
      </c>
      <c r="AB125" s="88" t="n">
        <v>8283</v>
      </c>
      <c r="AC125" s="96" t="n">
        <v>0.4648594811807159</v>
      </c>
      <c r="AD125" s="96" t="n">
        <v>0.5351407059497737</v>
      </c>
      <c r="AE125" s="32" t="inlineStr">
        <is>
          <t>bamboo sheets</t>
        </is>
      </c>
      <c r="AF125" s="96" t="n">
        <v>0.8806310196077667</v>
      </c>
      <c r="AG125" s="96" t="n">
        <v>0.8210506207469236</v>
      </c>
      <c r="AH125" s="96" t="n">
        <v>0.8831019217911507</v>
      </c>
      <c r="AI125" s="96" t="n">
        <v>0.2663467255088098</v>
      </c>
      <c r="AJ125" s="88" t="n">
        <v>435</v>
      </c>
      <c r="AK125" s="88" t="n">
        <v>14</v>
      </c>
      <c r="AL125" s="88" t="n">
        <v>407</v>
      </c>
      <c r="AM125" s="88" t="n">
        <v>7848</v>
      </c>
      <c r="AN125" s="88" t="n">
        <v>3784</v>
      </c>
      <c r="AO125" s="88" t="n">
        <v>10</v>
      </c>
      <c r="AP125" s="97" t="n">
        <v>1.180104147961932</v>
      </c>
      <c r="AQ125" s="92" t="n">
        <v>1.570823710546574</v>
      </c>
      <c r="AR125" s="98" t="inlineStr">
        <is>
          <t>N</t>
        </is>
      </c>
      <c r="AS125" s="98" t="inlineStr">
        <is>
          <t>none</t>
        </is>
      </c>
      <c r="AT125" s="104" t="n"/>
      <c r="AU125" s="99" t="n">
        <v>109.99</v>
      </c>
      <c r="AV125" s="98" t="inlineStr">
        <is>
          <t>none</t>
        </is>
      </c>
      <c r="AW125" s="98" t="inlineStr">
        <is>
          <t>Y</t>
        </is>
      </c>
      <c r="AX125" s="98" t="inlineStr">
        <is>
          <t>2026-10-13 12:11:16</t>
        </is>
      </c>
      <c r="AY125" s="100" t="inlineStr">
        <is>
          <t>None</t>
        </is>
      </c>
      <c r="AZ125" s="105" t="n"/>
      <c r="BA125" s="101" t="n">
        <v>109.99</v>
      </c>
      <c r="BB125" s="101" t="n">
        <v>109.99</v>
      </c>
      <c r="BC125" s="90">
        <f>IF(AND(ISNUMBER(BA125),ISNUMBER(BB125),N(BA125)&gt;0),1-BB125/BA125,"")</f>
        <v/>
      </c>
      <c r="BD125" s="102" t="n">
        <v>287</v>
      </c>
      <c r="BE125" s="102" t="n">
        <v>598</v>
      </c>
      <c r="BF125" s="103">
        <f>IF(AND(ISNUMBER(BD125),ISNUMBER(BE125),N(BE125)&gt;0),BD125/BE125,"")</f>
        <v/>
      </c>
      <c r="BG125" s="100" t="inlineStr">
        <is>
          <t>N</t>
        </is>
      </c>
      <c r="BH125" s="100" t="inlineStr">
        <is>
          <t>List Price $139.99/$149.99</t>
        </is>
      </c>
    </row>
    <row r="126" ht="62" customHeight="1">
      <c r="A126" s="10">
        <f>_xlfn.IMAGE("https://images-na.ssl-images-amazon.com/images/I/71oEhkRYQ+L.jpg")</f>
        <v/>
      </c>
      <c r="B126" s="86"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6" t="inlineStr">
        <is>
          <t>Aspirational</t>
        </is>
      </c>
      <c r="E126" s="87" t="inlineStr">
        <is>
          <t>B0G5N99X9R</t>
        </is>
      </c>
      <c r="F126" s="87" t="inlineStr">
        <is>
          <t>B01N9L2O9P</t>
        </is>
      </c>
      <c r="G126" s="86" t="inlineStr">
        <is>
          <t>Queen</t>
        </is>
      </c>
      <c r="H126" s="86" t="inlineStr">
        <is>
          <t>White</t>
        </is>
      </c>
      <c r="I126" s="88" t="n">
        <v>61</v>
      </c>
      <c r="J126" s="32" t="inlineStr">
        <is>
          <t>B01N9L2O9P (30%), B01N0UB2GO (20%), B072WD91XH (10%), B072WV76WK (6%), B07RJBYJ9L (5%)</t>
        </is>
      </c>
      <c r="K126" s="89" t="n">
        <v>79.98999999999999</v>
      </c>
      <c r="L126" s="89" t="n"/>
      <c r="M126" s="90">
        <f>IF(AND(ISNUMBER(L126),ISNUMBER(K126),N(K126)&gt;0),L126/K126-1,"")</f>
        <v/>
      </c>
      <c r="N126" s="91">
        <f>IF(M126="","No List Price",IF(M126&lt;=0,"At/below price",IF(M126&lt;=0.12,"&lt;=12% STR zone",IF(M126&lt;=0.25,"12-25%","&gt;25% over"))))</f>
        <v/>
      </c>
      <c r="O126" s="89" t="n">
        <v>68.48999999999999</v>
      </c>
      <c r="P126" s="92">
        <f>IF(AND(ISNUMBER(K126),ISNUMBER(O126),N(O126)&gt;0),K126/O126-1,"")</f>
        <v/>
      </c>
      <c r="Q126" s="32" t="inlineStr">
        <is>
          <t>Same size (Queen). Ours live: Helium 10 Xray, 2026-10-13; 2 children</t>
        </is>
      </c>
      <c r="R126" s="88" t="n">
        <v>2984</v>
      </c>
      <c r="S126" s="88" t="n">
        <v>347</v>
      </c>
      <c r="T126" s="93">
        <f>IF(AND(ISNUMBER(K126),ISNUMBER(S126)),K126*S126*52/12,"")</f>
        <v/>
      </c>
      <c r="U126" s="94" t="n">
        <v>4.4</v>
      </c>
      <c r="V126" s="88" t="n">
        <v>37179</v>
      </c>
      <c r="W126" s="95" t="n">
        <v>46307</v>
      </c>
      <c r="X126" s="95" t="n">
        <v>42729</v>
      </c>
      <c r="Y126" s="86" t="inlineStr">
        <is>
          <t>FBA</t>
        </is>
      </c>
      <c r="Z126" s="86" t="inlineStr">
        <is>
          <t>US</t>
        </is>
      </c>
      <c r="AA126" s="88" t="n">
        <v>451969</v>
      </c>
      <c r="AB126" s="88" t="n">
        <v>4094</v>
      </c>
      <c r="AC126" s="96" t="n">
        <v>0.6071584272372669</v>
      </c>
      <c r="AD126" s="96" t="n">
        <v>0.3928415727627336</v>
      </c>
      <c r="AE126" s="32" t="inlineStr">
        <is>
          <t>hotel</t>
        </is>
      </c>
      <c r="AF126" s="96" t="n">
        <v>0.9036371963563873</v>
      </c>
      <c r="AG126" s="96" t="n">
        <v>0.4767871247806819</v>
      </c>
      <c r="AH126" s="96" t="n">
        <v>0.1264024745059949</v>
      </c>
      <c r="AI126" s="96" t="n">
        <v>0.3227168234989568</v>
      </c>
      <c r="AJ126" s="88" t="n">
        <v>412</v>
      </c>
      <c r="AK126" s="88" t="n">
        <v>27</v>
      </c>
      <c r="AL126" s="88" t="n">
        <v>355</v>
      </c>
      <c r="AM126" s="88" t="n">
        <v>3682</v>
      </c>
      <c r="AN126" s="88" t="n">
        <v>948</v>
      </c>
      <c r="AO126" s="88" t="n">
        <v>3</v>
      </c>
      <c r="AP126" s="97" t="n">
        <v>1.799620493358634</v>
      </c>
      <c r="AQ126" s="92" t="n">
        <v>0.004829621679635077</v>
      </c>
      <c r="AR126" s="98" t="inlineStr">
        <is>
          <t>N</t>
        </is>
      </c>
      <c r="AS126" s="98" t="inlineStr">
        <is>
          <t>none</t>
        </is>
      </c>
      <c r="AT126" s="104" t="n"/>
      <c r="AU126" s="99" t="n">
        <v>79.98999999999999</v>
      </c>
      <c r="AV126" s="98" t="inlineStr">
        <is>
          <t>none</t>
        </is>
      </c>
      <c r="AW126" s="98" t="inlineStr">
        <is>
          <t>Y</t>
        </is>
      </c>
      <c r="AX126" s="98" t="inlineStr">
        <is>
          <t>2026-10-13 12:10:54</t>
        </is>
      </c>
      <c r="AY126" s="100" t="inlineStr">
        <is>
          <t>Price cut only</t>
        </is>
      </c>
      <c r="AZ126" s="100" t="inlineStr">
        <is>
          <t>11-20 to 12-01</t>
        </is>
      </c>
      <c r="BA126" s="101" t="n">
        <v>72.98999999999999</v>
      </c>
      <c r="BB126" s="101" t="n">
        <v>57.99</v>
      </c>
      <c r="BC126" s="90">
        <f>IF(AND(ISNUMBER(BA126),ISNUMBER(BB126),N(BA126)&gt;0),1-BB126/BA126,"")</f>
        <v/>
      </c>
      <c r="BD126" s="102" t="n">
        <v>3871</v>
      </c>
      <c r="BE126" s="102" t="n">
        <v>1703</v>
      </c>
      <c r="BF126" s="103">
        <f>IF(AND(ISNUMBER(BD126),ISNUMBER(BE126),N(BE126)&gt;0),BD126/BE126,"")</f>
        <v/>
      </c>
      <c r="BG126" s="100" t="inlineStr">
        <is>
          <t>N</t>
        </is>
      </c>
      <c r="BH126" s="100" t="inlineStr">
        <is>
          <t>Lightning Deal 11-07 to 11-11; Coupon 20% (11-12 to 12-02); List Price $72.99</t>
        </is>
      </c>
    </row>
    <row r="127" ht="62" customHeight="1">
      <c r="A127" s="10">
        <f>_xlfn.IMAGE("https://m.media-amazon.com/images/I/61A6QLdfwQL._AC_SL1500_.jpg")</f>
        <v/>
      </c>
      <c r="B127" s="86" t="inlineStr">
        <is>
          <t>BAMPURE</t>
        </is>
      </c>
      <c r="C127" s="32" t="inlineStr">
        <is>
          <t>Bamboo Sheets</t>
        </is>
      </c>
      <c r="D127" s="86" t="inlineStr">
        <is>
          <t>Aspirational</t>
        </is>
      </c>
      <c r="E127" s="87" t="inlineStr">
        <is>
          <t>B07XC2KVM7</t>
        </is>
      </c>
      <c r="F127" s="87" t="inlineStr">
        <is>
          <t>B07XC2KVM7</t>
        </is>
      </c>
      <c r="G127" s="86" t="inlineStr">
        <is>
          <t>Twin - 3 Pieces Set</t>
        </is>
      </c>
      <c r="H127" s="86" t="inlineStr">
        <is>
          <t>White</t>
        </is>
      </c>
      <c r="I127" s="88" t="n"/>
      <c r="J127" s="32" t="inlineStr"/>
      <c r="K127" s="89" t="n">
        <v>37.99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2541068</v>
      </c>
      <c r="S127" s="88" t="n">
        <v>5</v>
      </c>
      <c r="T127" s="93">
        <f>IF(AND(ISNUMBER(K127),ISNUMBER(S127)),K127*S127*52/12,"")</f>
        <v/>
      </c>
      <c r="U127" s="94" t="n">
        <v>4.4</v>
      </c>
      <c r="V127" s="88" t="n">
        <v>30</v>
      </c>
      <c r="W127" s="95" t="n">
        <v>46307</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104" t="n"/>
      <c r="AV127" s="98" t="inlineStr">
        <is>
          <t>none</t>
        </is>
      </c>
      <c r="AW127" s="98" t="inlineStr">
        <is>
          <t>N</t>
        </is>
      </c>
      <c r="AX127" s="98" t="inlineStr">
        <is>
          <t>2026-10-13 12:10:15</t>
        </is>
      </c>
      <c r="AY127" s="100" t="inlineStr">
        <is>
          <t>None</t>
        </is>
      </c>
      <c r="AZ127" s="105" t="n"/>
      <c r="BA127" s="101" t="n">
        <v>69.98999999999999</v>
      </c>
      <c r="BB127" s="101" t="n">
        <v>69.98999999999999</v>
      </c>
      <c r="BC127" s="90">
        <f>IF(AND(ISNUMBER(BA127),ISNUMBER(BB127),N(BA127)&gt;0),1-BB127/BA127,"")</f>
        <v/>
      </c>
      <c r="BD127" s="102" t="n">
        <v>31768</v>
      </c>
      <c r="BE127" s="102" t="n">
        <v>27950</v>
      </c>
      <c r="BF127" s="103">
        <f>IF(AND(ISNUMBER(BD127),ISNUMBER(BE127),N(BE127)&gt;0),BD127/BE127,"")</f>
        <v/>
      </c>
      <c r="BG127" s="100" t="inlineStr">
        <is>
          <t>N</t>
        </is>
      </c>
      <c r="BH127" s="100" t="inlineStr">
        <is>
          <t>List Price $69.99</t>
        </is>
      </c>
    </row>
    <row r="128" ht="62" customHeight="1">
      <c r="A128" s="10">
        <f>_xlfn.IMAGE("https://m.media-amazon.com/images/I/81BvQVXWCLL._AC_SL1500_.jpg")</f>
        <v/>
      </c>
      <c r="B128" s="86" t="inlineStr">
        <is>
          <t>BC BELLA COTERIE</t>
        </is>
      </c>
      <c r="C128" s="32" t="inlineStr">
        <is>
          <t>4 Piece Bamboo Sheet Set</t>
        </is>
      </c>
      <c r="D128" s="86" t="inlineStr">
        <is>
          <t>Aspirational</t>
        </is>
      </c>
      <c r="E128" s="87" t="inlineStr">
        <is>
          <t>B0H29V113N</t>
        </is>
      </c>
      <c r="F128" s="87" t="inlineStr">
        <is>
          <t>B0G674ZDTV</t>
        </is>
      </c>
      <c r="G128" s="86" t="inlineStr">
        <is>
          <t>Queen - 2 Pillowcases</t>
        </is>
      </c>
      <c r="H128" s="86" t="inlineStr">
        <is>
          <t>22 - Striped Dune</t>
        </is>
      </c>
      <c r="I128" s="88" t="n"/>
      <c r="J128" s="32" t="inlineStr"/>
      <c r="K128" s="89" t="n">
        <v>159.99</v>
      </c>
      <c r="L128" s="89" t="n"/>
      <c r="M128" s="90">
        <f>IF(AND(ISNUMBER(L128),ISNUMBER(K128),N(K128)&gt;0),L128/K128-1,"")</f>
        <v/>
      </c>
      <c r="N128" s="91">
        <f>IF(M128="","No List Price",IF(M128&lt;=0,"At/below price",IF(M128&lt;=0.12,"&lt;=12% STR zone",IF(M128&lt;=0.25,"12-25%","&gt;25% over"))))</f>
        <v/>
      </c>
      <c r="O128" s="89" t="n">
        <v>67.06792207792205</v>
      </c>
      <c r="P128" s="92">
        <f>IF(AND(ISNUMBER(K128),ISNUMBER(O128),N(O128)&gt;0),K128/O128-1,"")</f>
        <v/>
      </c>
      <c r="Q128" s="32" t="inlineStr">
        <is>
          <t>vs our blended price (Command Center, Mar 2026 - STALE)</t>
        </is>
      </c>
      <c r="R128" s="88" t="n">
        <v>1577</v>
      </c>
      <c r="S128" s="88" t="n">
        <v>5</v>
      </c>
      <c r="T128" s="93">
        <f>IF(AND(ISNUMBER(K128),ISNUMBER(S128)),K128*S128*52/12,"")</f>
        <v/>
      </c>
      <c r="U128" s="94" t="n">
        <v>4.4</v>
      </c>
      <c r="V128" s="88" t="n">
        <v>5652</v>
      </c>
      <c r="W128" s="95" t="n">
        <v>46223</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99" t="n">
        <v>159.99</v>
      </c>
      <c r="AV128" s="98" t="inlineStr">
        <is>
          <t>none</t>
        </is>
      </c>
      <c r="AW128" s="98" t="inlineStr">
        <is>
          <t>Y</t>
        </is>
      </c>
      <c r="AX128" s="98" t="inlineStr">
        <is>
          <t>2026-10-13 12:10:21</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10">
        <f>_xlfn.IMAGE("https://images-na.ssl-images-amazon.com/images/I/61-LBYlR5KL.jpg")</f>
        <v/>
      </c>
      <c r="B129" s="86" t="inlineStr">
        <is>
          <t>KRIMANO</t>
        </is>
      </c>
      <c r="C129" s="32" t="inlineStr">
        <is>
          <t>KRIMANO Bamboo Viscose Sheet Set King Size, Cooling Sheets Bed Set</t>
        </is>
      </c>
      <c r="D129" s="86" t="inlineStr">
        <is>
          <t>Beatable</t>
        </is>
      </c>
      <c r="E129" s="87" t="inlineStr">
        <is>
          <t>B0FT7L9RSX</t>
        </is>
      </c>
      <c r="F129" s="87" t="inlineStr">
        <is>
          <t>B0FT7LZ2CD</t>
        </is>
      </c>
      <c r="G129" s="86" t="inlineStr">
        <is>
          <t>King</t>
        </is>
      </c>
      <c r="H129" s="86" t="inlineStr">
        <is>
          <t>1.navy Blue</t>
        </is>
      </c>
      <c r="I129" s="88" t="n">
        <v>43</v>
      </c>
      <c r="J129" s="32" t="inlineStr">
        <is>
          <t>B0FT7LV7PP (47%), B0FT7LZ2CD (42%)</t>
        </is>
      </c>
      <c r="K129" s="89" t="n">
        <v>79.98999999999999</v>
      </c>
      <c r="L129" s="89" t="n"/>
      <c r="M129" s="90">
        <f>IF(AND(ISNUMBER(L129),ISNUMBER(K129),N(K129)&gt;0),L129/K129-1,"")</f>
        <v/>
      </c>
      <c r="N129" s="91">
        <f>IF(M129="","No List Price",IF(M129&lt;=0,"At/below price",IF(M129&lt;=0.12,"&lt;=12% STR zone",IF(M129&lt;=0.25,"12-25%","&gt;25% over"))))</f>
        <v/>
      </c>
      <c r="O129" s="89" t="n">
        <v>69.98999999999999</v>
      </c>
      <c r="P129" s="92">
        <f>IF(AND(ISNUMBER(K129),ISNUMBER(O129),N(O129)&gt;0),K129/O129-1,"")</f>
        <v/>
      </c>
      <c r="Q129" s="32" t="inlineStr">
        <is>
          <t>Same size (King). Ours live: Helium 10 Xray, 2026-10-13; 5 children</t>
        </is>
      </c>
      <c r="R129" s="88" t="n">
        <v>5664</v>
      </c>
      <c r="S129" s="88" t="n">
        <v>185</v>
      </c>
      <c r="T129" s="93">
        <f>IF(AND(ISNUMBER(K129),ISNUMBER(S129)),K129*S129*52/12,"")</f>
        <v/>
      </c>
      <c r="U129" s="94" t="n">
        <v>4.5</v>
      </c>
      <c r="V129" s="88" t="n">
        <v>263</v>
      </c>
      <c r="W129" s="95" t="n">
        <v>46307</v>
      </c>
      <c r="X129" s="95" t="n">
        <v>45944</v>
      </c>
      <c r="Y129" s="86" t="inlineStr">
        <is>
          <t>FBA</t>
        </is>
      </c>
      <c r="Z129" s="86" t="inlineStr">
        <is>
          <t>HK</t>
        </is>
      </c>
      <c r="AA129" s="88" t="n">
        <v>334819</v>
      </c>
      <c r="AB129" s="88" t="n">
        <v>2638</v>
      </c>
      <c r="AC129" s="96" t="n">
        <v>0.6137371774003271</v>
      </c>
      <c r="AD129" s="96" t="n">
        <v>0.3862628512718813</v>
      </c>
      <c r="AE129" s="32" t="inlineStr">
        <is>
          <t>bamboo sheets</t>
        </is>
      </c>
      <c r="AF129" s="96" t="n">
        <v>0.9348573408319122</v>
      </c>
      <c r="AG129" s="96" t="n">
        <v>0.3304382367786775</v>
      </c>
      <c r="AH129" s="96" t="n"/>
      <c r="AI129" s="96" t="n">
        <v>0.007908750698138397</v>
      </c>
      <c r="AJ129" s="88" t="n">
        <v>417</v>
      </c>
      <c r="AK129" s="88" t="n">
        <v>16</v>
      </c>
      <c r="AL129" s="88" t="n">
        <v>323</v>
      </c>
      <c r="AM129" s="88" t="n">
        <v>2221</v>
      </c>
      <c r="AN129" s="88" t="n">
        <v>491</v>
      </c>
      <c r="AO129" s="88" t="n">
        <v>8</v>
      </c>
      <c r="AP129" s="97" t="n">
        <v>1.312468450277638</v>
      </c>
      <c r="AQ129" s="92" t="n">
        <v>0.2565502183406114</v>
      </c>
      <c r="AR129" s="98" t="inlineStr">
        <is>
          <t>N</t>
        </is>
      </c>
      <c r="AS129" s="98" t="inlineStr">
        <is>
          <t>none</t>
        </is>
      </c>
      <c r="AT129" s="104" t="n"/>
      <c r="AU129" s="99" t="n">
        <v>84.98999999999999</v>
      </c>
      <c r="AV129" s="98" t="inlineStr">
        <is>
          <t>none</t>
        </is>
      </c>
      <c r="AW129" s="98" t="inlineStr">
        <is>
          <t>Y</t>
        </is>
      </c>
      <c r="AX129" s="98" t="inlineStr">
        <is>
          <t>2026-10-13 12:11:00</t>
        </is>
      </c>
      <c r="AY129" s="100" t="inlineStr">
        <is>
          <t>None</t>
        </is>
      </c>
      <c r="AZ129" s="105" t="n"/>
      <c r="BA129" s="101" t="n">
        <v>72.98999999999999</v>
      </c>
      <c r="BB129" s="101" t="n">
        <v>72.98999999999999</v>
      </c>
      <c r="BC129" s="90">
        <f>IF(AND(ISNUMBER(BA129),ISNUMBER(BB129),N(BA129)&gt;0),1-BB129/BA129,"")</f>
        <v/>
      </c>
      <c r="BD129" s="102" t="n">
        <v>1190634</v>
      </c>
      <c r="BE129" s="102" t="n">
        <v>628461</v>
      </c>
      <c r="BF129" s="103">
        <f>IF(AND(ISNUMBER(BD129),ISNUMBER(BE129),N(BE129)&gt;0),BD129/BE129,"")</f>
        <v/>
      </c>
      <c r="BG129" s="100" t="inlineStr">
        <is>
          <t>N</t>
        </is>
      </c>
      <c r="BH129" s="100" t="inlineStr">
        <is>
          <t>List Price $94.89</t>
        </is>
      </c>
    </row>
    <row r="130" ht="62" customHeight="1">
      <c r="A130" s="10">
        <f>_xlfn.IMAGE("https://images-na.ssl-images-amazon.com/images/I/81svKInu7aL.jpg")</f>
        <v/>
      </c>
      <c r="B130" s="86" t="inlineStr">
        <is>
          <t>Bambaw</t>
        </is>
      </c>
      <c r="C130" s="32" t="inlineStr">
        <is>
          <t>Bambaw 100% Viscose Derived from Bamboo Sheets Queen Size Set – 4pcs Cooling Sheet Set, Super Soft Sheets Queen Size, Luxury Bed Sheets, Deep Pocket Fits Up to 16'' Mattresses (Charcoal)</t>
        </is>
      </c>
      <c r="D130" s="86" t="inlineStr">
        <is>
          <t>Beatable</t>
        </is>
      </c>
      <c r="E130" s="87" t="inlineStr">
        <is>
          <t>B07K6SYX8L</t>
        </is>
      </c>
      <c r="F130" s="87" t="inlineStr">
        <is>
          <t>B0DR99Q37Y</t>
        </is>
      </c>
      <c r="G130" s="86" t="inlineStr">
        <is>
          <t>Queen</t>
        </is>
      </c>
      <c r="H130" s="86" t="inlineStr">
        <is>
          <t>Charcoal</t>
        </is>
      </c>
      <c r="I130" s="88" t="n">
        <v>104</v>
      </c>
      <c r="J130" s="32" t="inlineStr">
        <is>
          <t>B0DR99Q37Y (55%), B0DR98VW37 (10%), B0F2J1742T (7%), B0DR98HVG3 (5%), B0H3BQSQ1X (5%)</t>
        </is>
      </c>
      <c r="K130" s="89" t="n">
        <v>89.98999999999999</v>
      </c>
      <c r="L130" s="89" t="n"/>
      <c r="M130" s="90">
        <f>IF(AND(ISNUMBER(L130),ISNUMBER(K130),N(K130)&gt;0),L130/K130-1,"")</f>
        <v/>
      </c>
      <c r="N130" s="91">
        <f>IF(M130="","No List Price",IF(M130&lt;=0,"At/below price",IF(M130&lt;=0.12,"&lt;=12% STR zone",IF(M130&lt;=0.25,"12-25%","&gt;25% over"))))</f>
        <v/>
      </c>
      <c r="O130" s="89" t="n">
        <v>68.48999999999999</v>
      </c>
      <c r="P130" s="92">
        <f>IF(AND(ISNUMBER(K130),ISNUMBER(O130),N(O130)&gt;0),K130/O130-1,"")</f>
        <v/>
      </c>
      <c r="Q130" s="32" t="inlineStr">
        <is>
          <t>Same size (Queen). Ours live: Helium 10 Xray, 2026-10-13; 2 children</t>
        </is>
      </c>
      <c r="R130" s="88" t="n">
        <v>6971</v>
      </c>
      <c r="S130" s="88" t="n">
        <v>104</v>
      </c>
      <c r="T130" s="93">
        <f>IF(AND(ISNUMBER(K130),ISNUMBER(S130)),K130*S130*52/12,"")</f>
        <v/>
      </c>
      <c r="U130" s="94" t="n">
        <v>4.3</v>
      </c>
      <c r="V130" s="88" t="n">
        <v>2766</v>
      </c>
      <c r="W130" s="95" t="n">
        <v>46307</v>
      </c>
      <c r="X130" s="95" t="n">
        <v>45649</v>
      </c>
      <c r="Y130" s="86" t="inlineStr">
        <is>
          <t>FBA</t>
        </is>
      </c>
      <c r="Z130" s="86" t="inlineStr">
        <is>
          <t>BE</t>
        </is>
      </c>
      <c r="AA130" s="88" t="n">
        <v>407949</v>
      </c>
      <c r="AB130" s="88" t="n">
        <v>2137</v>
      </c>
      <c r="AC130" s="96" t="n">
        <v>0.5037485506766772</v>
      </c>
      <c r="AD130" s="96" t="n">
        <v>0.4962515277645003</v>
      </c>
      <c r="AE130" s="32" t="inlineStr">
        <is>
          <t>bamboo sheets</t>
        </is>
      </c>
      <c r="AF130" s="96" t="n">
        <v>0.8267479513370544</v>
      </c>
      <c r="AG130" s="96" t="n">
        <v>0.000431426477329274</v>
      </c>
      <c r="AH130" s="96" t="n">
        <v>0.3636508485129268</v>
      </c>
      <c r="AI130" s="96" t="n">
        <v>0.003414642516589083</v>
      </c>
      <c r="AJ130" s="88" t="n">
        <v>400</v>
      </c>
      <c r="AK130" s="88" t="n">
        <v>25</v>
      </c>
      <c r="AL130" s="88" t="n">
        <v>350</v>
      </c>
      <c r="AM130" s="88" t="n">
        <v>1737</v>
      </c>
      <c r="AN130" s="88" t="n">
        <v>594</v>
      </c>
      <c r="AO130" s="88" t="n">
        <v>6</v>
      </c>
      <c r="AP130" s="97" t="n">
        <v>1.374474053295933</v>
      </c>
      <c r="AQ130" s="92" t="n">
        <v>1.381825760733639</v>
      </c>
      <c r="AR130" s="98" t="inlineStr">
        <is>
          <t>N</t>
        </is>
      </c>
      <c r="AS130" s="98" t="inlineStr">
        <is>
          <t>none</t>
        </is>
      </c>
      <c r="AT130" s="104" t="n"/>
      <c r="AU130" s="99" t="n">
        <v>89.98999999999999</v>
      </c>
      <c r="AV130" s="98" t="inlineStr">
        <is>
          <t>none</t>
        </is>
      </c>
      <c r="AW130" s="98" t="inlineStr">
        <is>
          <t>Y</t>
        </is>
      </c>
      <c r="AX130" s="98" t="inlineStr">
        <is>
          <t>2026-10-13 12:10:28</t>
        </is>
      </c>
      <c r="AY130" s="100" t="inlineStr">
        <is>
          <t>None</t>
        </is>
      </c>
      <c r="AZ130" s="105" t="n"/>
      <c r="BA130" s="101" t="n">
        <v>89.98999999999999</v>
      </c>
      <c r="BB130" s="101" t="n">
        <v>89.98999999999999</v>
      </c>
      <c r="BC130" s="90">
        <f>IF(AND(ISNUMBER(BA130),ISNUMBER(BB130),N(BA130)&gt;0),1-BB130/BA130,"")</f>
        <v/>
      </c>
      <c r="BD130" s="102" t="n">
        <v>12712</v>
      </c>
      <c r="BE130" s="102" t="n">
        <v>10881</v>
      </c>
      <c r="BF130" s="103">
        <f>IF(AND(ISNUMBER(BD130),ISNUMBER(BE130),N(BE130)&gt;0),BD130/BE130,"")</f>
        <v/>
      </c>
      <c r="BG130" s="100" t="inlineStr">
        <is>
          <t>N</t>
        </is>
      </c>
      <c r="BH130" s="100" t="inlineStr">
        <is>
          <t>List Price $103.45</t>
        </is>
      </c>
    </row>
    <row r="131" ht="62" customHeight="1">
      <c r="A131" s="10">
        <f>_xlfn.IMAGE("https://images-na.ssl-images-amazon.com/images/I/81suQgVR0GL.jpg")</f>
        <v/>
      </c>
      <c r="B131" s="86" t="inlineStr">
        <is>
          <t>Bedsure</t>
        </is>
      </c>
      <c r="C131" s="32" t="inlineStr">
        <is>
          <t>Bedsure PureWoven Organically Grown Bamboo Viscose Queen Sheet Set, 4PCS</t>
        </is>
      </c>
      <c r="D131" s="86" t="inlineStr">
        <is>
          <t>Beatable</t>
        </is>
      </c>
      <c r="E131" s="87" t="inlineStr">
        <is>
          <t>B0FB8XS4D1</t>
        </is>
      </c>
      <c r="F131" s="87" t="inlineStr">
        <is>
          <t>B0FB8XR43Q</t>
        </is>
      </c>
      <c r="G131" s="86" t="inlineStr">
        <is>
          <t>Queen</t>
        </is>
      </c>
      <c r="H131" s="86" t="inlineStr">
        <is>
          <t>01 - White</t>
        </is>
      </c>
      <c r="I131" s="88" t="n">
        <v>39</v>
      </c>
      <c r="J131" s="32" t="inlineStr">
        <is>
          <t>B0FB8XR43Q (31%), B0FB8ZTD7M (18%), B0GLN6VP9Y (11%), B0FB8YV6C7 (10%), B0FB8Z4GGW (10%)</t>
        </is>
      </c>
      <c r="K131" s="89" t="n">
        <v>89.98999999999999</v>
      </c>
      <c r="L131" s="89" t="n">
        <v>119.99</v>
      </c>
      <c r="M131" s="90">
        <f>IF(AND(ISNUMBER(L131),ISNUMBER(K131),N(K131)&gt;0),L131/K131-1,"")</f>
        <v/>
      </c>
      <c r="N131" s="91">
        <f>IF(M131="","No List Price",IF(M131&lt;=0,"At/below price",IF(M131&lt;=0.12,"&lt;=12% STR zone",IF(M131&lt;=0.25,"12-25%","&gt;25% over"))))</f>
        <v/>
      </c>
      <c r="O131" s="89" t="n">
        <v>68.48999999999999</v>
      </c>
      <c r="P131" s="92">
        <f>IF(AND(ISNUMBER(K131),ISNUMBER(O131),N(O131)&gt;0),K131/O131-1,"")</f>
        <v/>
      </c>
      <c r="Q131" s="32" t="inlineStr">
        <is>
          <t>Same size (Queen). Ours live: Helium 10 Xray, 2026-10-13; 2 children</t>
        </is>
      </c>
      <c r="R131" s="88" t="n">
        <v>8938</v>
      </c>
      <c r="S131" s="88" t="n">
        <v>104</v>
      </c>
      <c r="T131" s="93">
        <f>IF(AND(ISNUMBER(K131),ISNUMBER(S131)),K131*S131*52/12,"")</f>
        <v/>
      </c>
      <c r="U131" s="94" t="n">
        <v>4.5</v>
      </c>
      <c r="V131" s="88" t="n">
        <v>588</v>
      </c>
      <c r="W131" s="95" t="n">
        <v>46307</v>
      </c>
      <c r="X131" s="95" t="n">
        <v>45936</v>
      </c>
      <c r="Y131" s="86" t="inlineStr">
        <is>
          <t>FBA</t>
        </is>
      </c>
      <c r="Z131" s="86" t="inlineStr">
        <is>
          <t>US</t>
        </is>
      </c>
      <c r="AA131" s="88" t="n">
        <v>840292</v>
      </c>
      <c r="AB131" s="88" t="n">
        <v>3961</v>
      </c>
      <c r="AC131" s="96" t="n">
        <v>0.1404099194089678</v>
      </c>
      <c r="AD131" s="96" t="n">
        <v>0.8595901834124341</v>
      </c>
      <c r="AE131" s="32" t="inlineStr">
        <is>
          <t>bamboo sheets</t>
        </is>
      </c>
      <c r="AF131" s="96" t="n">
        <v>0.9284082199997143</v>
      </c>
      <c r="AG131" s="96" t="n">
        <v>0.9843340172225845</v>
      </c>
      <c r="AH131" s="96" t="n">
        <v>0.5269953777972419</v>
      </c>
      <c r="AI131" s="96" t="n">
        <v>0.000478405125837209</v>
      </c>
      <c r="AJ131" s="88" t="n">
        <v>418</v>
      </c>
      <c r="AK131" s="88" t="n">
        <v>21</v>
      </c>
      <c r="AL131" s="88" t="n">
        <v>375</v>
      </c>
      <c r="AM131" s="88" t="n">
        <v>3543</v>
      </c>
      <c r="AN131" s="88" t="n">
        <v>2450</v>
      </c>
      <c r="AO131" s="88" t="n">
        <v>14</v>
      </c>
      <c r="AP131" s="97" t="n">
        <v>1.764832022873481</v>
      </c>
      <c r="AQ131" s="92" t="n">
        <v>-0.09047044632086854</v>
      </c>
      <c r="AR131" s="98" t="inlineStr">
        <is>
          <t>Y</t>
        </is>
      </c>
      <c r="AS131" s="98" t="inlineStr">
        <is>
          <t>List Price</t>
        </is>
      </c>
      <c r="AT131" s="99" t="n">
        <v>119.99</v>
      </c>
      <c r="AU131" s="99" t="n">
        <v>89.98999999999999</v>
      </c>
      <c r="AV131" s="98" t="inlineStr">
        <is>
          <t>none</t>
        </is>
      </c>
      <c r="AW131" s="98" t="inlineStr">
        <is>
          <t>Y</t>
        </is>
      </c>
      <c r="AX131" s="98" t="inlineStr">
        <is>
          <t>2026-10-13 12:10:38</t>
        </is>
      </c>
      <c r="AY131" s="100" t="inlineStr">
        <is>
          <t>Prime Exclusive Discount</t>
        </is>
      </c>
      <c r="AZ131" s="100" t="inlineStr">
        <is>
          <t>11-10 to 12-05</t>
        </is>
      </c>
      <c r="BA131" s="101" t="n">
        <v>99.98999999999999</v>
      </c>
      <c r="BB131" s="101" t="n">
        <v>72.64</v>
      </c>
      <c r="BC131" s="90">
        <f>IF(AND(ISNUMBER(BA131),ISNUMBER(BB131),N(BA131)&gt;0),1-BB131/BA131,"")</f>
        <v/>
      </c>
      <c r="BD131" s="102" t="n">
        <v>53160</v>
      </c>
      <c r="BE131" s="102" t="n">
        <v>53782</v>
      </c>
      <c r="BF131" s="103">
        <f>IF(AND(ISNUMBER(BD131),ISNUMBER(BE131),N(BE131)&gt;0),BD131/BE131,"")</f>
        <v/>
      </c>
      <c r="BG131" s="100" t="inlineStr">
        <is>
          <t>N</t>
        </is>
      </c>
      <c r="BH131" s="100" t="inlineStr">
        <is>
          <t>Prime Exclusive already running before BFCM week; List Price $114.99</t>
        </is>
      </c>
    </row>
    <row r="132" ht="62" customHeight="1">
      <c r="A132" s="10">
        <f>_xlfn.IMAGE("https://images-na.ssl-images-amazon.com/images/I/71sqxa1EquL.jpg")</f>
        <v/>
      </c>
      <c r="B132" s="86" t="inlineStr">
        <is>
          <t>SONORO KATE</t>
        </is>
      </c>
      <c r="C132" s="32" t="inlineStr">
        <is>
          <t>Bamboo Sheets</t>
        </is>
      </c>
      <c r="D132" s="86" t="inlineStr">
        <is>
          <t>Beatable</t>
        </is>
      </c>
      <c r="E132" s="87" t="inlineStr">
        <is>
          <t>B0F4852T9V</t>
        </is>
      </c>
      <c r="F132" s="87" t="inlineStr">
        <is>
          <t>B0F4873G4H</t>
        </is>
      </c>
      <c r="G132" s="86" t="inlineStr">
        <is>
          <t>King</t>
        </is>
      </c>
      <c r="H132" s="86" t="inlineStr">
        <is>
          <t>Dark Grey</t>
        </is>
      </c>
      <c r="I132" s="88" t="n">
        <v>33</v>
      </c>
      <c r="J132" s="32" t="inlineStr">
        <is>
          <t>B0F486MGJ1 (46%), B0F4873G4H (45%)</t>
        </is>
      </c>
      <c r="K132" s="89" t="n">
        <v>79.98999999999999</v>
      </c>
      <c r="L132" s="89" t="n"/>
      <c r="M132" s="90">
        <f>IF(AND(ISNUMBER(L132),ISNUMBER(K132),N(K132)&gt;0),L132/K132-1,"")</f>
        <v/>
      </c>
      <c r="N132" s="91">
        <f>IF(M132="","No List Price",IF(M132&lt;=0,"At/below price",IF(M132&lt;=0.12,"&lt;=12% STR zone",IF(M132&lt;=0.25,"12-25%","&gt;25% over"))))</f>
        <v/>
      </c>
      <c r="O132" s="89" t="n">
        <v>69.98999999999999</v>
      </c>
      <c r="P132" s="92">
        <f>IF(AND(ISNUMBER(K132),ISNUMBER(O132),N(O132)&gt;0),K132/O132-1,"")</f>
        <v/>
      </c>
      <c r="Q132" s="32" t="inlineStr">
        <is>
          <t>Same size (King). Ours live: Helium 10 Xray, 2026-10-13; 5 children</t>
        </is>
      </c>
      <c r="R132" s="88" t="n">
        <v>7961</v>
      </c>
      <c r="S132" s="88" t="n">
        <v>104</v>
      </c>
      <c r="T132" s="93">
        <f>IF(AND(ISNUMBER(K132),ISNUMBER(S132)),K132*S132*52/12,"")</f>
        <v/>
      </c>
      <c r="U132" s="94" t="n">
        <v>4.5</v>
      </c>
      <c r="V132" s="88" t="n">
        <v>3776</v>
      </c>
      <c r="W132" s="95" t="n">
        <v>46307</v>
      </c>
      <c r="X132" s="95" t="n"/>
      <c r="Y132" s="86" t="n"/>
      <c r="Z132" s="86" t="n"/>
      <c r="AA132" s="88" t="n">
        <v>185157</v>
      </c>
      <c r="AB132" s="88" t="n">
        <v>1447</v>
      </c>
      <c r="AC132" s="96" t="n">
        <v>0.9776013545261586</v>
      </c>
      <c r="AD132" s="96" t="n">
        <v>0.02239928493116653</v>
      </c>
      <c r="AE132" s="32" t="inlineStr">
        <is>
          <t>bamboo sheets</t>
        </is>
      </c>
      <c r="AF132" s="96" t="n">
        <v>0.4342476924987983</v>
      </c>
      <c r="AG132" s="96" t="n"/>
      <c r="AH132" s="96" t="n"/>
      <c r="AI132" s="96" t="n">
        <v>0.1639959601851402</v>
      </c>
      <c r="AJ132" s="88" t="n">
        <v>332</v>
      </c>
      <c r="AK132" s="88" t="n">
        <v>22</v>
      </c>
      <c r="AL132" s="88" t="n">
        <v>293</v>
      </c>
      <c r="AM132" s="88" t="n">
        <v>1115</v>
      </c>
      <c r="AN132" s="88" t="n">
        <v>123</v>
      </c>
      <c r="AO132" s="88" t="n">
        <v>0</v>
      </c>
      <c r="AP132" s="97" t="n">
        <v>1.314808539478143</v>
      </c>
      <c r="AQ132" s="92" t="n">
        <v>0.6186540731995278</v>
      </c>
      <c r="AR132" s="98" t="inlineStr">
        <is>
          <t>N</t>
        </is>
      </c>
      <c r="AS132" s="98" t="inlineStr">
        <is>
          <t>none</t>
        </is>
      </c>
      <c r="AT132" s="104" t="n"/>
      <c r="AU132" s="99" t="n">
        <v>79.98999999999999</v>
      </c>
      <c r="AV132" s="98" t="inlineStr">
        <is>
          <t>coupon $5</t>
        </is>
      </c>
      <c r="AW132" s="98" t="inlineStr">
        <is>
          <t>Y</t>
        </is>
      </c>
      <c r="AX132" s="98" t="inlineStr">
        <is>
          <t>2026-10-13 12:11:19</t>
        </is>
      </c>
      <c r="AY132" s="100" t="inlineStr">
        <is>
          <t>Prime Exclusive Discount</t>
        </is>
      </c>
      <c r="AZ132" s="100" t="inlineStr">
        <is>
          <t>11-20 to 12-01</t>
        </is>
      </c>
      <c r="BA132" s="101" t="n">
        <v>79.98999999999999</v>
      </c>
      <c r="BB132" s="101" t="n">
        <v>63.99</v>
      </c>
      <c r="BC132" s="90">
        <f>IF(AND(ISNUMBER(BA132),ISNUMBER(BB132),N(BA132)&gt;0),1-BB132/BA132,"")</f>
        <v/>
      </c>
      <c r="BD132" s="102" t="n">
        <v>36662</v>
      </c>
      <c r="BE132" s="102" t="n">
        <v>23612</v>
      </c>
      <c r="BF132" s="103">
        <f>IF(AND(ISNUMBER(BD132),ISNUMBER(BE132),N(BE132)&gt;0),BD132/BE132,"")</f>
        <v/>
      </c>
      <c r="BG132" s="100" t="inlineStr">
        <is>
          <t>N</t>
        </is>
      </c>
      <c r="BH132" s="100" t="inlineStr">
        <is>
          <t>Coupon 15% (11-06 to 11-19); List Price $79.99</t>
        </is>
      </c>
    </row>
    <row r="133" ht="62" customHeight="1">
      <c r="A133" s="10">
        <f>_xlfn.IMAGE("https://images-na.ssl-images-amazon.com/images/I/71Pl57-j67L.jpg")</f>
        <v/>
      </c>
      <c r="B133" s="86" t="inlineStr">
        <is>
          <t>BC BELLA COTERIE</t>
        </is>
      </c>
      <c r="C133" s="32" t="inlineStr">
        <is>
          <t>Bella Coterie Luxury Bamboo Viscose King Size Sheet Set</t>
        </is>
      </c>
      <c r="D133" s="86" t="inlineStr">
        <is>
          <t>Beatable</t>
        </is>
      </c>
      <c r="E133" s="87" t="inlineStr">
        <is>
          <t>B0H29V113N</t>
        </is>
      </c>
      <c r="F133" s="87" t="inlineStr">
        <is>
          <t>B08L86VLZB</t>
        </is>
      </c>
      <c r="G133" s="86" t="inlineStr">
        <is>
          <t>King - 2 Pillowcases</t>
        </is>
      </c>
      <c r="H133" s="86" t="inlineStr">
        <is>
          <t>01 - White</t>
        </is>
      </c>
      <c r="I133" s="88" t="n">
        <v>258</v>
      </c>
      <c r="J133" s="32" t="inlineStr">
        <is>
          <t>B0C979FD5Z (12%), B09JTQMF5C (11%), B08L86VLZB (6%), B08L85SV5Z (5%), B09JV1NG9R (4%)</t>
        </is>
      </c>
      <c r="K133" s="89" t="n">
        <v>154.99</v>
      </c>
      <c r="L133" s="89" t="n"/>
      <c r="M133" s="90">
        <f>IF(AND(ISNUMBER(L133),ISNUMBER(K133),N(K133)&gt;0),L133/K133-1,"")</f>
        <v/>
      </c>
      <c r="N133" s="91">
        <f>IF(M133="","No List Price",IF(M133&lt;=0,"At/below price",IF(M133&lt;=0.12,"&lt;=12% STR zone",IF(M133&lt;=0.25,"12-25%","&gt;25% over"))))</f>
        <v/>
      </c>
      <c r="O133" s="89" t="n">
        <v>67.06792207792205</v>
      </c>
      <c r="P133" s="92">
        <f>IF(AND(ISNUMBER(K133),ISNUMBER(O133),N(O133)&gt;0),K133/O133-1,"")</f>
        <v/>
      </c>
      <c r="Q133" s="32" t="inlineStr">
        <is>
          <t>vs our blended price (Command Center, Mar 2026 - STALE)</t>
        </is>
      </c>
      <c r="R133" s="88" t="n">
        <v>1358</v>
      </c>
      <c r="S133" s="88" t="n">
        <v>92</v>
      </c>
      <c r="T133" s="93">
        <f>IF(AND(ISNUMBER(K133),ISNUMBER(S133)),K133*S133*52/12,"")</f>
        <v/>
      </c>
      <c r="U133" s="94" t="n">
        <v>4.4</v>
      </c>
      <c r="V133" s="88" t="n">
        <v>5871</v>
      </c>
      <c r="W133" s="95" t="n">
        <v>46307</v>
      </c>
      <c r="X133" s="95" t="n">
        <v>44154</v>
      </c>
      <c r="Y133" s="86" t="inlineStr">
        <is>
          <t>FBA</t>
        </is>
      </c>
      <c r="Z133" s="86" t="inlineStr">
        <is>
          <t>US</t>
        </is>
      </c>
      <c r="AA133" s="88" t="n">
        <v>591713</v>
      </c>
      <c r="AB133" s="88" t="n">
        <v>5504</v>
      </c>
      <c r="AC133" s="96" t="n">
        <v>0.3622702587234016</v>
      </c>
      <c r="AD133" s="96" t="n">
        <v>0.6377298332130611</v>
      </c>
      <c r="AE133" s="32" t="inlineStr">
        <is>
          <t>bamboo sheets</t>
        </is>
      </c>
      <c r="AF133" s="96" t="n">
        <v>0.9808184035165697</v>
      </c>
      <c r="AG133" s="96" t="n">
        <v>0.5730548424658576</v>
      </c>
      <c r="AH133" s="96" t="n">
        <v>0.5581810776508206</v>
      </c>
      <c r="AI133" s="96" t="n">
        <v>0.03836488297536136</v>
      </c>
      <c r="AJ133" s="88" t="n">
        <v>439</v>
      </c>
      <c r="AK133" s="88" t="n">
        <v>21</v>
      </c>
      <c r="AL133" s="88" t="n">
        <v>390</v>
      </c>
      <c r="AM133" s="88" t="n">
        <v>5065</v>
      </c>
      <c r="AN133" s="88" t="n">
        <v>2437</v>
      </c>
      <c r="AO133" s="88" t="n">
        <v>11</v>
      </c>
      <c r="AP133" s="97" t="n">
        <v>1.778087279480037</v>
      </c>
      <c r="AQ133" s="92" t="n">
        <v>0.3772549019607843</v>
      </c>
      <c r="AR133" s="98" t="inlineStr">
        <is>
          <t>N</t>
        </is>
      </c>
      <c r="AS133" s="98" t="inlineStr">
        <is>
          <t>none</t>
        </is>
      </c>
      <c r="AT133" s="104" t="n"/>
      <c r="AU133" s="99" t="n">
        <v>169.99</v>
      </c>
      <c r="AV133" s="98" t="inlineStr">
        <is>
          <t>none</t>
        </is>
      </c>
      <c r="AW133" s="98" t="inlineStr">
        <is>
          <t>Y</t>
        </is>
      </c>
      <c r="AX133" s="98" t="inlineStr">
        <is>
          <t>2026-10-13 12:14:18</t>
        </is>
      </c>
      <c r="AY133" s="100" t="inlineStr">
        <is>
          <t>Price cut only</t>
        </is>
      </c>
      <c r="AZ133" s="100" t="inlineStr">
        <is>
          <t>11-20 to 12-01</t>
        </is>
      </c>
      <c r="BA133" s="101" t="n">
        <v>134.99</v>
      </c>
      <c r="BB133" s="101" t="n">
        <v>110.5</v>
      </c>
      <c r="BC133" s="90">
        <f>IF(AND(ISNUMBER(BA133),ISNUMBER(BB133),N(BA133)&gt;0),1-BB133/BA133,"")</f>
        <v/>
      </c>
      <c r="BD133" s="102" t="n">
        <v>3072</v>
      </c>
      <c r="BE133" s="102" t="n">
        <v>1155</v>
      </c>
      <c r="BF133" s="103">
        <f>IF(AND(ISNUMBER(BD133),ISNUMBER(BE133),N(BE133)&gt;0),BD133/BE133,"")</f>
        <v/>
      </c>
      <c r="BG133" s="100" t="inlineStr">
        <is>
          <t>N</t>
        </is>
      </c>
      <c r="BH133" s="100" t="inlineStr">
        <is>
          <t>Coupon 20.00 USD (12-03 to 12-05); List Price $169.99</t>
        </is>
      </c>
    </row>
    <row r="134" ht="62" customHeight="1">
      <c r="A134" s="10">
        <f>_xlfn.IMAGE("https://images-na.ssl-images-amazon.com/images/I/61fbapIObwL.jpg")</f>
        <v/>
      </c>
      <c r="B134" s="86" t="inlineStr">
        <is>
          <t>BAMPURE</t>
        </is>
      </c>
      <c r="C134" s="32" t="inlineStr">
        <is>
          <t>BAMPURE 100% Rayon from Bamboo Sheets King Size - 4pc Cooling King Sheets</t>
        </is>
      </c>
      <c r="D134" s="86" t="inlineStr">
        <is>
          <t>Beatable</t>
        </is>
      </c>
      <c r="E134" s="87" t="inlineStr">
        <is>
          <t>B0HC778XB4</t>
        </is>
      </c>
      <c r="F134" s="87" t="inlineStr">
        <is>
          <t>B07XFP6BY2</t>
        </is>
      </c>
      <c r="G134" s="86" t="inlineStr">
        <is>
          <t>King</t>
        </is>
      </c>
      <c r="H134" s="86" t="inlineStr">
        <is>
          <t>White</t>
        </is>
      </c>
      <c r="I134" s="88" t="n">
        <v>40</v>
      </c>
      <c r="J134" s="32" t="inlineStr">
        <is>
          <t>B07XBJY2JR (65%), B07XFP6BY2 (21%)</t>
        </is>
      </c>
      <c r="K134" s="89" t="n">
        <v>67.98</v>
      </c>
      <c r="L134" s="89" t="n">
        <v>99.98999999999999</v>
      </c>
      <c r="M134" s="90">
        <f>IF(AND(ISNUMBER(L134),ISNUMBER(K134),N(K134)&gt;0),L134/K134-1,"")</f>
        <v/>
      </c>
      <c r="N134" s="91">
        <f>IF(M134="","No List Price",IF(M134&lt;=0,"At/below price",IF(M134&lt;=0.12,"&lt;=12% STR zone",IF(M134&lt;=0.25,"12-25%","&gt;25% over"))))</f>
        <v/>
      </c>
      <c r="O134" s="89" t="n">
        <v>69.98999999999999</v>
      </c>
      <c r="P134" s="92">
        <f>IF(AND(ISNUMBER(K134),ISNUMBER(O134),N(O134)&gt;0),K134/O134-1,"")</f>
        <v/>
      </c>
      <c r="Q134" s="32" t="inlineStr">
        <is>
          <t>Same size (King). Ours live: Helium 10 Xray, 2026-10-13; 5 children</t>
        </is>
      </c>
      <c r="R134" s="88" t="n">
        <v>14479</v>
      </c>
      <c r="S134" s="88" t="n">
        <v>81</v>
      </c>
      <c r="T134" s="93">
        <f>IF(AND(ISNUMBER(K134),ISNUMBER(S134)),K134*S134*52/12,"")</f>
        <v/>
      </c>
      <c r="U134" s="94" t="n">
        <v>4.4</v>
      </c>
      <c r="V134" s="88" t="n">
        <v>4095</v>
      </c>
      <c r="W134" s="95" t="n">
        <v>46307</v>
      </c>
      <c r="X134" s="95" t="n">
        <v>43776</v>
      </c>
      <c r="Y134" s="86" t="inlineStr">
        <is>
          <t>FBA</t>
        </is>
      </c>
      <c r="Z134" s="86" t="inlineStr">
        <is>
          <t>US</t>
        </is>
      </c>
      <c r="AA134" s="88" t="n">
        <v>67699</v>
      </c>
      <c r="AB134" s="88" t="n">
        <v>1687</v>
      </c>
      <c r="AC134" s="96" t="n">
        <v>0.8589487052984534</v>
      </c>
      <c r="AD134" s="96" t="n">
        <v>0.1410512947015465</v>
      </c>
      <c r="AE134" s="32" t="inlineStr">
        <is>
          <t>bamboo sheets</t>
        </is>
      </c>
      <c r="AF134" s="96" t="n">
        <v>0.9117121375500377</v>
      </c>
      <c r="AG134" s="96" t="n"/>
      <c r="AH134" s="96" t="n"/>
      <c r="AI134" s="96" t="n"/>
      <c r="AJ134" s="88" t="n">
        <v>376</v>
      </c>
      <c r="AK134" s="88" t="n">
        <v>55</v>
      </c>
      <c r="AL134" s="88" t="n">
        <v>265</v>
      </c>
      <c r="AM134" s="88" t="n">
        <v>1311</v>
      </c>
      <c r="AN134" s="88" t="n">
        <v>294</v>
      </c>
      <c r="AO134" s="88" t="n">
        <v>1</v>
      </c>
      <c r="AP134" s="97" t="n">
        <v>1.016706443914081</v>
      </c>
      <c r="AQ134" s="92" t="n">
        <v>-0.2868217054263565</v>
      </c>
      <c r="AR134" s="98" t="inlineStr">
        <is>
          <t>Y</t>
        </is>
      </c>
      <c r="AS134" s="98" t="inlineStr">
        <is>
          <t>List Price</t>
        </is>
      </c>
      <c r="AT134" s="99" t="n">
        <v>99.98999999999999</v>
      </c>
      <c r="AU134" s="99" t="n">
        <v>67.98</v>
      </c>
      <c r="AV134" s="98" t="inlineStr">
        <is>
          <t>Limited time deal</t>
        </is>
      </c>
      <c r="AW134" s="98" t="inlineStr">
        <is>
          <t>Y</t>
        </is>
      </c>
      <c r="AX134" s="98" t="inlineStr">
        <is>
          <t>2026-10-13 12:10:12</t>
        </is>
      </c>
      <c r="AY134" s="100" t="inlineStr">
        <is>
          <t>Prime Exclusive Discount</t>
        </is>
      </c>
      <c r="AZ134" s="100" t="inlineStr">
        <is>
          <t>11-22 to 12-01</t>
        </is>
      </c>
      <c r="BA134" s="101" t="n">
        <v>84.98999999999999</v>
      </c>
      <c r="BB134" s="101" t="n">
        <v>79.98999999999999</v>
      </c>
      <c r="BC134" s="90">
        <f>IF(AND(ISNUMBER(BA134),ISNUMBER(BB134),N(BA134)&gt;0),1-BB134/BA134,"")</f>
        <v/>
      </c>
      <c r="BD134" s="102" t="n">
        <v>31768</v>
      </c>
      <c r="BE134" s="102" t="n">
        <v>27833</v>
      </c>
      <c r="BF134" s="103">
        <f>IF(AND(ISNUMBER(BD134),ISNUMBER(BE134),N(BE134)&gt;0),BD134/BE134,"")</f>
        <v/>
      </c>
      <c r="BG134" s="100" t="inlineStr">
        <is>
          <t>N</t>
        </is>
      </c>
      <c r="BH134" s="100" t="inlineStr">
        <is>
          <t>Coupon 5.00 USD (11-01 to 11-04); Buy Box RAISED in BFCM week (median $99.99 vs $84.99 before); List Price $99.99</t>
        </is>
      </c>
    </row>
    <row r="135" ht="62" customHeight="1">
      <c r="A135" s="10">
        <f>_xlfn.IMAGE("https://images-na.ssl-images-amazon.com/images/I/71HeTCWM4hL.jpg")</f>
        <v/>
      </c>
      <c r="B135" s="86" t="inlineStr">
        <is>
          <t>SONORO KATE</t>
        </is>
      </c>
      <c r="C135" s="32" t="inlineStr">
        <is>
          <t>SONORO KATE 100% Viscose Derived from Bamboo_Sheets Queen Size,4PC</t>
        </is>
      </c>
      <c r="D135" s="86" t="inlineStr">
        <is>
          <t>Beatable</t>
        </is>
      </c>
      <c r="E135" s="87" t="inlineStr">
        <is>
          <t>B0F29FQLFD</t>
        </is>
      </c>
      <c r="F135" s="87" t="inlineStr">
        <is>
          <t>B0F29F1JM5</t>
        </is>
      </c>
      <c r="G135" s="86" t="inlineStr">
        <is>
          <t>Queen</t>
        </is>
      </c>
      <c r="H135" s="86" t="inlineStr">
        <is>
          <t>Dark Grey</t>
        </is>
      </c>
      <c r="I135" s="88" t="n">
        <v>42</v>
      </c>
      <c r="J135" s="32" t="inlineStr">
        <is>
          <t>B0F29F1JM5 (71%), B0F29HFNNS (19%)</t>
        </is>
      </c>
      <c r="K135" s="89" t="n">
        <v>59.99</v>
      </c>
      <c r="L135" s="89" t="n"/>
      <c r="M135" s="90">
        <f>IF(AND(ISNUMBER(L135),ISNUMBER(K135),N(K135)&gt;0),L135/K135-1,"")</f>
        <v/>
      </c>
      <c r="N135" s="91">
        <f>IF(M135="","No List Price",IF(M135&lt;=0,"At/below price",IF(M135&lt;=0.12,"&lt;=12% STR zone",IF(M135&lt;=0.25,"12-25%","&gt;25% over"))))</f>
        <v/>
      </c>
      <c r="O135" s="89" t="n">
        <v>68.48999999999999</v>
      </c>
      <c r="P135" s="92">
        <f>IF(AND(ISNUMBER(K135),ISNUMBER(O135),N(O135)&gt;0),K135/O135-1,"")</f>
        <v/>
      </c>
      <c r="Q135" s="32" t="inlineStr">
        <is>
          <t>Same size (Queen). Ours live: Helium 10 Xray, 2026-10-13; 2 children</t>
        </is>
      </c>
      <c r="R135" s="88" t="n">
        <v>23979</v>
      </c>
      <c r="S135" s="88" t="n">
        <v>81</v>
      </c>
      <c r="T135" s="93">
        <f>IF(AND(ISNUMBER(K135),ISNUMBER(S135)),K135*S135*52/12,"")</f>
        <v/>
      </c>
      <c r="U135" s="94" t="n">
        <v>4.5</v>
      </c>
      <c r="V135" s="88" t="n">
        <v>3911</v>
      </c>
      <c r="W135" s="95" t="n">
        <v>46307</v>
      </c>
      <c r="X135" s="95" t="n">
        <v>45740</v>
      </c>
      <c r="Y135" s="86" t="inlineStr">
        <is>
          <t>FBA</t>
        </is>
      </c>
      <c r="Z135" s="86" t="inlineStr">
        <is>
          <t>CN</t>
        </is>
      </c>
      <c r="AA135" s="88" t="n">
        <v>114504</v>
      </c>
      <c r="AB135" s="88" t="n">
        <v>947</v>
      </c>
      <c r="AC135" s="96" t="n">
        <v>0.8792897182631171</v>
      </c>
      <c r="AD135" s="96" t="n">
        <v>0.1207102817368825</v>
      </c>
      <c r="AE135" s="32" t="inlineStr">
        <is>
          <t>bamboo sheets</t>
        </is>
      </c>
      <c r="AF135" s="96" t="n">
        <v>0.3106878362327953</v>
      </c>
      <c r="AG135" s="96" t="n"/>
      <c r="AH135" s="96" t="n"/>
      <c r="AI135" s="96" t="n">
        <v>0.03587647593097185</v>
      </c>
      <c r="AJ135" s="88" t="n">
        <v>327</v>
      </c>
      <c r="AK135" s="88" t="n">
        <v>22</v>
      </c>
      <c r="AL135" s="88" t="n">
        <v>286</v>
      </c>
      <c r="AM135" s="88" t="n">
        <v>620</v>
      </c>
      <c r="AN135" s="88" t="n">
        <v>88</v>
      </c>
      <c r="AO135" s="88" t="n">
        <v>0</v>
      </c>
      <c r="AP135" s="97" t="n">
        <v>1.095271210013908</v>
      </c>
      <c r="AQ135" s="92" t="n">
        <v>-0.1040240897892143</v>
      </c>
      <c r="AR135" s="98" t="inlineStr">
        <is>
          <t>N</t>
        </is>
      </c>
      <c r="AS135" s="98" t="inlineStr">
        <is>
          <t>none</t>
        </is>
      </c>
      <c r="AT135" s="104" t="n"/>
      <c r="AU135" s="99" t="n">
        <v>59.99</v>
      </c>
      <c r="AV135" s="98" t="inlineStr">
        <is>
          <t>coupon 15%</t>
        </is>
      </c>
      <c r="AW135" s="98" t="inlineStr">
        <is>
          <t>Y</t>
        </is>
      </c>
      <c r="AX135" s="98" t="inlineStr">
        <is>
          <t>2026-10-13 12:11:22</t>
        </is>
      </c>
      <c r="AY135" s="100" t="inlineStr">
        <is>
          <t>Prime Exclusive Discount</t>
        </is>
      </c>
      <c r="AZ135" s="100" t="inlineStr">
        <is>
          <t>11-20 to 12-01</t>
        </is>
      </c>
      <c r="BA135" s="101" t="n">
        <v>59.99</v>
      </c>
      <c r="BB135" s="101" t="n">
        <v>47.99</v>
      </c>
      <c r="BC135" s="90">
        <f>IF(AND(ISNUMBER(BA135),ISNUMBER(BB135),N(BA135)&gt;0),1-BB135/BA135,"")</f>
        <v/>
      </c>
      <c r="BD135" s="102" t="n">
        <v>22774</v>
      </c>
      <c r="BE135" s="102" t="n">
        <v>19002</v>
      </c>
      <c r="BF135" s="103">
        <f>IF(AND(ISNUMBER(BD135),ISNUMBER(BE135),N(BE135)&gt;0),BD135/BE135,"")</f>
        <v/>
      </c>
      <c r="BG135" s="100" t="inlineStr">
        <is>
          <t>N</t>
        </is>
      </c>
      <c r="BH135" s="100" t="inlineStr">
        <is>
          <t>Coupon 10% (11-04 to 12-05); List Price $59.99</t>
        </is>
      </c>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68.48999999999999</v>
      </c>
      <c r="P136" s="92">
        <f>IF(AND(ISNUMBER(K136),ISNUMBER(O136),N(O136)&gt;0),K136/O136-1,"")</f>
        <v/>
      </c>
      <c r="Q136" s="32" t="inlineStr">
        <is>
          <t>Same size (Queen). Ours live: Helium 10 Xray, 2026-10-13; 2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401</v>
      </c>
      <c r="AK136" s="88" t="n">
        <v>33</v>
      </c>
      <c r="AL136" s="88" t="n">
        <v>341</v>
      </c>
      <c r="AM136" s="88" t="n">
        <v>2281</v>
      </c>
      <c r="AN136" s="88" t="n">
        <v>820</v>
      </c>
      <c r="AO136" s="88" t="n">
        <v>5</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_xlfn.IMAGE("https://m.media-amazon.com/images/I/71m+WEzQwhL._AC_SL1500_.jpg")</f>
        <v/>
      </c>
      <c r="B137" s="86" t="inlineStr">
        <is>
          <t>AiAngu</t>
        </is>
      </c>
      <c r="C137" s="32" t="inlineStr">
        <is>
          <t>Bamboo Sheets</t>
        </is>
      </c>
      <c r="D137" s="86" t="inlineStr">
        <is>
          <t>Poor</t>
        </is>
      </c>
      <c r="E137" s="87" t="inlineStr">
        <is>
          <t>B0GX135KCN</t>
        </is>
      </c>
      <c r="F137" s="87" t="inlineStr">
        <is>
          <t>B0GX15Y7TT</t>
        </is>
      </c>
      <c r="G137" s="86" t="inlineStr">
        <is>
          <t>Queen</t>
        </is>
      </c>
      <c r="H137" s="86" t="inlineStr">
        <is>
          <t>Dark Grey</t>
        </is>
      </c>
      <c r="I137" s="88" t="n"/>
      <c r="J137" s="32" t="inlineStr"/>
      <c r="K137" s="89" t="n">
        <v>74.98999999999999</v>
      </c>
      <c r="L137" s="89" t="n">
        <v>79.98999999999999</v>
      </c>
      <c r="M137" s="90">
        <f>IF(AND(ISNUMBER(L137),ISNUMBER(K137),N(K137)&gt;0),L137/K137-1,"")</f>
        <v/>
      </c>
      <c r="N137" s="91">
        <f>IF(M137="","No List Price",IF(M137&lt;=0,"At/below price",IF(M137&lt;=0.12,"&lt;=12% STR zone",IF(M137&lt;=0.25,"12-25%","&gt;25% over"))))</f>
        <v/>
      </c>
      <c r="O137" s="89" t="n">
        <v>68.48999999999999</v>
      </c>
      <c r="P137" s="92">
        <f>IF(AND(ISNUMBER(K137),ISNUMBER(O137),N(O137)&gt;0),K137/O137-1,"")</f>
        <v/>
      </c>
      <c r="Q137" s="32" t="inlineStr">
        <is>
          <t>Same size (Queen). Ours live: Helium 10 Xray, 2026-10-13; 2 children</t>
        </is>
      </c>
      <c r="R137" s="88" t="n">
        <v>39296</v>
      </c>
      <c r="S137" s="88" t="n">
        <v>81</v>
      </c>
      <c r="T137" s="93">
        <f>IF(AND(ISNUMBER(K137),ISNUMBER(S137)),K137*S137*52/12,"")</f>
        <v/>
      </c>
      <c r="U137" s="94" t="n">
        <v>4.6</v>
      </c>
      <c r="V137" s="88" t="n">
        <v>121</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79.98999999999999</v>
      </c>
      <c r="AU137" s="99" t="n">
        <v>74.98999999999999</v>
      </c>
      <c r="AV137" s="98" t="inlineStr">
        <is>
          <t>coupon 25%</t>
        </is>
      </c>
      <c r="AW137" s="98" t="inlineStr">
        <is>
          <t>Y</t>
        </is>
      </c>
      <c r="AX137" s="98" t="inlineStr">
        <is>
          <t>2026-10-13 23:35:32</t>
        </is>
      </c>
      <c r="AY137" s="100" t="inlineStr">
        <is>
          <t>Not live in 2025</t>
        </is>
      </c>
      <c r="AZ137" s="105" t="n"/>
      <c r="BA137" s="104" t="n"/>
      <c r="BB137" s="104" t="n"/>
      <c r="BC137" s="90">
        <f>IF(AND(ISNUMBER(BA137),ISNUMBER(BB137),N(BA137)&gt;0),1-BB137/BA137,"")</f>
        <v/>
      </c>
      <c r="BD137" s="106" t="n"/>
      <c r="BE137" s="106" t="n"/>
      <c r="BF137" s="103">
        <f>IF(AND(ISNUMBER(BD137),ISNUMBER(BE137),N(BE137)&gt;0),BD137/BE137,"")</f>
        <v/>
      </c>
      <c r="BG137" s="105" t="n"/>
      <c r="BH137" s="105" t="n"/>
    </row>
    <row r="138" ht="62" customHeight="1">
      <c r="A138" s="10">
        <f>_xlfn.IMAGE("https://images-na.ssl-images-amazon.com/images/I/71Kvq1YdGJL.jpg")</f>
        <v/>
      </c>
      <c r="B138" s="86" t="inlineStr">
        <is>
          <t>Cariloha</t>
        </is>
      </c>
      <c r="C138" s="32" t="inlineStr">
        <is>
          <t>Cariloha Aloha Soft Bamboo Viscose Sheet Set - Natural - Queen</t>
        </is>
      </c>
      <c r="D138" s="86" t="inlineStr">
        <is>
          <t>Poor</t>
        </is>
      </c>
      <c r="E138" s="87" t="inlineStr">
        <is>
          <t>B0F89K7BXJ</t>
        </is>
      </c>
      <c r="F138" s="87" t="inlineStr">
        <is>
          <t>B0DJV1K332</t>
        </is>
      </c>
      <c r="G138" s="86" t="inlineStr">
        <is>
          <t>Queen</t>
        </is>
      </c>
      <c r="H138" s="86" t="inlineStr">
        <is>
          <t>Natural</t>
        </is>
      </c>
      <c r="I138" s="88" t="n">
        <v>35</v>
      </c>
      <c r="J138" s="32" t="inlineStr"/>
      <c r="K138" s="89" t="n">
        <v>107.1</v>
      </c>
      <c r="L138" s="89" t="n"/>
      <c r="M138" s="90">
        <f>IF(AND(ISNUMBER(L138),ISNUMBER(K138),N(K138)&gt;0),L138/K138-1,"")</f>
        <v/>
      </c>
      <c r="N138" s="91">
        <f>IF(M138="","No List Price",IF(M138&lt;=0,"At/below price",IF(M138&lt;=0.12,"&lt;=12% STR zone",IF(M138&lt;=0.25,"12-25%","&gt;25% over"))))</f>
        <v/>
      </c>
      <c r="O138" s="89" t="n">
        <v>68.48999999999999</v>
      </c>
      <c r="P138" s="92">
        <f>IF(AND(ISNUMBER(K138),ISNUMBER(O138),N(O138)&gt;0),K138/O138-1,"")</f>
        <v/>
      </c>
      <c r="Q138" s="32" t="inlineStr">
        <is>
          <t>Same size (Queen). Ours live: Helium 10 Xray, 2026-10-13; 2 children</t>
        </is>
      </c>
      <c r="R138" s="88" t="n">
        <v>15882</v>
      </c>
      <c r="S138" s="88" t="n">
        <v>81</v>
      </c>
      <c r="T138" s="93">
        <f>IF(AND(ISNUMBER(K138),ISNUMBER(S138)),K138*S138*52/12,"")</f>
        <v/>
      </c>
      <c r="U138" s="94" t="n">
        <v>4.4</v>
      </c>
      <c r="V138" s="88" t="n">
        <v>426</v>
      </c>
      <c r="W138" s="95" t="n">
        <v>46307</v>
      </c>
      <c r="X138" s="95" t="n">
        <v>45575</v>
      </c>
      <c r="Y138" s="86" t="inlineStr">
        <is>
          <t>FBA</t>
        </is>
      </c>
      <c r="Z138" s="86" t="inlineStr">
        <is>
          <t>US</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Y</t>
        </is>
      </c>
      <c r="AS138" s="98" t="inlineStr">
        <is>
          <t>List Price</t>
        </is>
      </c>
      <c r="AT138" s="99" t="n">
        <v>119</v>
      </c>
      <c r="AU138" s="99" t="n">
        <v>107.1</v>
      </c>
      <c r="AV138" s="98" t="inlineStr">
        <is>
          <t>none</t>
        </is>
      </c>
      <c r="AW138" s="98" t="inlineStr">
        <is>
          <t>Y</t>
        </is>
      </c>
      <c r="AX138" s="98" t="inlineStr">
        <is>
          <t>2026-10-13 23:35:56</t>
        </is>
      </c>
      <c r="AY138" s="100" t="inlineStr">
        <is>
          <t>Prime Exclusive Discount</t>
        </is>
      </c>
      <c r="AZ138" s="100" t="inlineStr">
        <is>
          <t>11-23 to 11-30</t>
        </is>
      </c>
      <c r="BA138" s="101" t="n">
        <v>119</v>
      </c>
      <c r="BB138" s="101" t="n">
        <v>71.40000000000001</v>
      </c>
      <c r="BC138" s="90">
        <f>IF(AND(ISNUMBER(BA138),ISNUMBER(BB138),N(BA138)&gt;0),1-BB138/BA138,"")</f>
        <v/>
      </c>
      <c r="BD138" s="102" t="n">
        <v>52063</v>
      </c>
      <c r="BE138" s="102" t="n">
        <v>37342</v>
      </c>
      <c r="BF138" s="103">
        <f>IF(AND(ISNUMBER(BD138),ISNUMBER(BE138),N(BE138)&gt;0),BD138/BE138,"")</f>
        <v/>
      </c>
      <c r="BG138" s="100" t="inlineStr">
        <is>
          <t>N</t>
        </is>
      </c>
      <c r="BH138" s="100" t="inlineStr">
        <is>
          <t>Coupon 20%, 30% (11-01 to 12-05); List Price $119.00</t>
        </is>
      </c>
    </row>
    <row r="139" ht="62" customHeight="1">
      <c r="A139" s="10">
        <f>_xlfn.IMAGE("https://images-na.ssl-images-amazon.com/images/I/81fSDKgL-SL.jpg")</f>
        <v/>
      </c>
      <c r="B139" s="86" t="inlineStr">
        <is>
          <t>ACCURATEX</t>
        </is>
      </c>
      <c r="C139" s="32" t="inlineStr">
        <is>
          <t>ACCURATEX Cooling Sheets for Hot Sleepers, King Size, Grey</t>
        </is>
      </c>
      <c r="D139" s="86" t="inlineStr">
        <is>
          <t>Poor</t>
        </is>
      </c>
      <c r="E139" s="87" t="inlineStr">
        <is>
          <t>B0GMGSMLQ1</t>
        </is>
      </c>
      <c r="F139" s="87" t="inlineStr">
        <is>
          <t>B09PYB9C45</t>
        </is>
      </c>
      <c r="G139" s="86" t="inlineStr">
        <is>
          <t>King</t>
        </is>
      </c>
      <c r="H139" s="86" t="inlineStr">
        <is>
          <t>Grey</t>
        </is>
      </c>
      <c r="I139" s="88" t="n">
        <v>51</v>
      </c>
      <c r="J139" s="32" t="inlineStr"/>
      <c r="K139" s="89" t="n">
        <v>69.98999999999999</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5 children</t>
        </is>
      </c>
      <c r="R139" s="88" t="n">
        <v>33423</v>
      </c>
      <c r="S139" s="88" t="n">
        <v>35</v>
      </c>
      <c r="T139" s="93">
        <f>IF(AND(ISNUMBER(K139),ISNUMBER(S139)),K139*S139*52/12,"")</f>
        <v/>
      </c>
      <c r="U139" s="94" t="n">
        <v>4.4</v>
      </c>
      <c r="V139" s="88" t="n">
        <v>1040</v>
      </c>
      <c r="W139" s="95" t="n">
        <v>46307</v>
      </c>
      <c r="X139" s="95" t="n">
        <v>44681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69.98999999999999</v>
      </c>
      <c r="AV139" s="98" t="inlineStr">
        <is>
          <t>none</t>
        </is>
      </c>
      <c r="AW139" s="98" t="inlineStr">
        <is>
          <t>Y</t>
        </is>
      </c>
      <c r="AX139" s="98" t="inlineStr">
        <is>
          <t>2026-10-13 23:35:28</t>
        </is>
      </c>
      <c r="AY139" s="100" t="inlineStr">
        <is>
          <t>Prime Exclusive Discount</t>
        </is>
      </c>
      <c r="AZ139" s="100" t="inlineStr">
        <is>
          <t>11-26 to 12-01</t>
        </is>
      </c>
      <c r="BA139" s="101" t="n">
        <v>59.49</v>
      </c>
      <c r="BB139" s="101" t="n">
        <v>59.49</v>
      </c>
      <c r="BC139" s="90">
        <f>IF(AND(ISNUMBER(BA139),ISNUMBER(BB139),N(BA139)&gt;0),1-BB139/BA139,"")</f>
        <v/>
      </c>
      <c r="BD139" s="102" t="n">
        <v>33899</v>
      </c>
      <c r="BE139" s="102" t="n">
        <v>51988</v>
      </c>
      <c r="BF139" s="103">
        <f>IF(AND(ISNUMBER(BD139),ISNUMBER(BE139),N(BE139)&gt;0),BD139/BE139,"")</f>
        <v/>
      </c>
      <c r="BG139" s="100" t="inlineStr">
        <is>
          <t>N</t>
        </is>
      </c>
      <c r="BH139" s="100" t="inlineStr">
        <is>
          <t>Lightning Deal 11-13 to 11-13; Buy Box RAISED in BFCM week (median $74.99 vs $69.99 before); List Price $74.99</t>
        </is>
      </c>
    </row>
    <row r="140" ht="62" customHeight="1">
      <c r="A140" s="10">
        <f>_xlfn.IMAGE("https://images-na.ssl-images-amazon.com/images/I/61NbNWE+BJL.jpg")</f>
        <v/>
      </c>
      <c r="B140" s="86" t="inlineStr">
        <is>
          <t>Cozy Earth</t>
        </is>
      </c>
      <c r="C140" s="32" t="inlineStr">
        <is>
          <t>Cozy Earth Luxury Bed Sheet Set, 100% Viscose from Bamboo Fabric</t>
        </is>
      </c>
      <c r="D140" s="86" t="inlineStr">
        <is>
          <t>Poor</t>
        </is>
      </c>
      <c r="E140" s="87" t="inlineStr">
        <is>
          <t>B0DSQ9V4ML</t>
        </is>
      </c>
      <c r="F140" s="87" t="inlineStr">
        <is>
          <t>B0F22JR4S8</t>
        </is>
      </c>
      <c r="G140" s="86" t="inlineStr">
        <is>
          <t>King</t>
        </is>
      </c>
      <c r="H140" s="86" t="inlineStr">
        <is>
          <t>White</t>
        </is>
      </c>
      <c r="I140" s="88" t="n">
        <v>54</v>
      </c>
      <c r="J140" s="32" t="inlineStr"/>
      <c r="K140" s="89" t="n">
        <v>328</v>
      </c>
      <c r="L140" s="89" t="n"/>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5 children</t>
        </is>
      </c>
      <c r="R140" s="88" t="n">
        <v>45709</v>
      </c>
      <c r="S140" s="88" t="n">
        <v>35</v>
      </c>
      <c r="T140" s="93">
        <f>IF(AND(ISNUMBER(K140),ISNUMBER(S140)),K140*S140*52/12,"")</f>
        <v/>
      </c>
      <c r="U140" s="94" t="n">
        <v>3.9</v>
      </c>
      <c r="V140" s="88" t="n">
        <v>425</v>
      </c>
      <c r="W140" s="95" t="n">
        <v>46307</v>
      </c>
      <c r="X140" s="95" t="n">
        <v>41624</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N</t>
        </is>
      </c>
      <c r="AS140" s="98" t="inlineStr">
        <is>
          <t>none</t>
        </is>
      </c>
      <c r="AT140" s="104" t="n"/>
      <c r="AU140" s="99" t="n">
        <v>328</v>
      </c>
      <c r="AV140" s="98" t="inlineStr">
        <is>
          <t>none</t>
        </is>
      </c>
      <c r="AW140" s="98" t="inlineStr">
        <is>
          <t>Y</t>
        </is>
      </c>
      <c r="AX140" s="98" t="inlineStr">
        <is>
          <t>2026-10-13 23:36:06</t>
        </is>
      </c>
      <c r="AY140" s="100" t="inlineStr">
        <is>
          <t>Prime Exclusive Discount</t>
        </is>
      </c>
      <c r="AZ140" s="100" t="inlineStr">
        <is>
          <t>11-27 to 12-01</t>
        </is>
      </c>
      <c r="BA140" s="101" t="n">
        <v>262.4</v>
      </c>
      <c r="BB140" s="101" t="n">
        <v>229.6</v>
      </c>
      <c r="BC140" s="90">
        <f>IF(AND(ISNUMBER(BA140),ISNUMBER(BB140),N(BA140)&gt;0),1-BB140/BA140,"")</f>
        <v/>
      </c>
      <c r="BD140" s="102" t="n">
        <v>51830</v>
      </c>
      <c r="BE140" s="102" t="n">
        <v>28404</v>
      </c>
      <c r="BF140" s="103">
        <f>IF(AND(ISNUMBER(BD140),ISNUMBER(BE140),N(BE140)&gt;0),BD140/BE140,"")</f>
        <v/>
      </c>
      <c r="BG140" s="100" t="inlineStr">
        <is>
          <t>N</t>
        </is>
      </c>
      <c r="BH140" s="100" t="inlineStr">
        <is>
          <t>List Price $328.00</t>
        </is>
      </c>
    </row>
    <row r="141" ht="62" customHeight="1">
      <c r="A141" s="10">
        <f>_xlfn.IMAGE("https://images-na.ssl-images-amazon.com/images/I/61iqSV9TaLL.jpg")</f>
        <v/>
      </c>
      <c r="B141" s="86" t="inlineStr">
        <is>
          <t>DREAMCARE</t>
        </is>
      </c>
      <c r="C141" s="32" t="inlineStr">
        <is>
          <t>DREAMCARE 100% Rayon Bamboo Sheets King Size - 4pc Cooling Sheets King Size</t>
        </is>
      </c>
      <c r="D141" s="86" t="inlineStr">
        <is>
          <t>Poor</t>
        </is>
      </c>
      <c r="E141" s="87" t="inlineStr">
        <is>
          <t>B0DVZFLVMG</t>
        </is>
      </c>
      <c r="F141" s="87" t="inlineStr">
        <is>
          <t>B0CF2MND41</t>
        </is>
      </c>
      <c r="G141" s="86" t="inlineStr">
        <is>
          <t>King</t>
        </is>
      </c>
      <c r="H141" s="86" t="inlineStr">
        <is>
          <t>5 - Gray</t>
        </is>
      </c>
      <c r="I141" s="88" t="n">
        <v>30</v>
      </c>
      <c r="J141" s="32" t="inlineStr"/>
      <c r="K141" s="89" t="n">
        <v>46.74</v>
      </c>
      <c r="L141" s="89" t="n">
        <v>59.99</v>
      </c>
      <c r="M141" s="90">
        <f>IF(AND(ISNUMBER(L141),ISNUMBER(K141),N(K141)&gt;0),L141/K141-1,"")</f>
        <v/>
      </c>
      <c r="N141" s="91">
        <f>IF(M141="","No List Price",IF(M141&lt;=0,"At/below price",IF(M141&lt;=0.12,"&lt;=12% STR zone",IF(M141&lt;=0.25,"12-25%","&gt;25% over"))))</f>
        <v/>
      </c>
      <c r="O141" s="89" t="n">
        <v>69.98999999999999</v>
      </c>
      <c r="P141" s="92">
        <f>IF(AND(ISNUMBER(K141),ISNUMBER(O141),N(O141)&gt;0),K141/O141-1,"")</f>
        <v/>
      </c>
      <c r="Q141" s="32" t="inlineStr">
        <is>
          <t>Same size (King). Ours live: Helium 10 Xray, 2026-10-13; 5 children</t>
        </is>
      </c>
      <c r="R141" s="88" t="n">
        <v>37217</v>
      </c>
      <c r="S141" s="88" t="n">
        <v>35</v>
      </c>
      <c r="T141" s="93">
        <f>IF(AND(ISNUMBER(K141),ISNUMBER(S141)),K141*S141*52/12,"")</f>
        <v/>
      </c>
      <c r="U141" s="94" t="n">
        <v>4.5</v>
      </c>
      <c r="V141" s="88" t="n">
        <v>2261</v>
      </c>
      <c r="W141" s="95" t="n">
        <v>46307</v>
      </c>
      <c r="X141" s="95" t="n">
        <v>45146</v>
      </c>
      <c r="Y141" s="86" t="inlineStr">
        <is>
          <t>FBA</t>
        </is>
      </c>
      <c r="Z141" s="86" t="inlineStr">
        <is>
          <t>US</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List Price</t>
        </is>
      </c>
      <c r="AT141" s="99" t="n">
        <v>59.99</v>
      </c>
      <c r="AU141" s="99" t="n">
        <v>46.74</v>
      </c>
      <c r="AV141" s="98" t="inlineStr">
        <is>
          <t>Limited time deal</t>
        </is>
      </c>
      <c r="AW141" s="98" t="inlineStr">
        <is>
          <t>Y</t>
        </is>
      </c>
      <c r="AX141" s="98" t="inlineStr">
        <is>
          <t>2026-10-13 23:36:12</t>
        </is>
      </c>
      <c r="AY141" s="100" t="inlineStr">
        <is>
          <t>Prime Exclusive Discount</t>
        </is>
      </c>
      <c r="AZ141" s="100" t="inlineStr">
        <is>
          <t>11-22 to 12-01</t>
        </is>
      </c>
      <c r="BA141" s="101" t="n">
        <v>58.99</v>
      </c>
      <c r="BB141" s="101" t="n">
        <v>49.99</v>
      </c>
      <c r="BC141" s="90">
        <f>IF(AND(ISNUMBER(BA141),ISNUMBER(BB141),N(BA141)&gt;0),1-BB141/BA141,"")</f>
        <v/>
      </c>
      <c r="BD141" s="102" t="n">
        <v>209915</v>
      </c>
      <c r="BE141" s="102" t="n">
        <v>169120</v>
      </c>
      <c r="BF141" s="103">
        <f>IF(AND(ISNUMBER(BD141),ISNUMBER(BE141),N(BE141)&gt;0),BD141/BE141,"")</f>
        <v/>
      </c>
      <c r="BG141" s="100" t="inlineStr">
        <is>
          <t>N</t>
        </is>
      </c>
      <c r="BH141" s="100" t="inlineStr">
        <is>
          <t>Buy Box RAISED in BFCM week (median $62.88 vs $58.99 before); List Price $58.99</t>
        </is>
      </c>
    </row>
    <row r="142" ht="62" customHeight="1">
      <c r="A142" s="10">
        <f>_xlfn.IMAGE("https://images-na.ssl-images-amazon.com/images/I/81noqNc+ZjL.jpg")</f>
        <v/>
      </c>
      <c r="B142" s="86" t="inlineStr">
        <is>
          <t>HOT SLEEPER SHEETS</t>
        </is>
      </c>
      <c r="C142" s="32" t="inlineStr">
        <is>
          <t>Cooling Sheets Set Queen Size, Viscose Derived from Bamboo for Hot Sleepers | Deep Pocket Up to 16 Inch | Silky Soft &amp; Breathable Bedding - 4PC (Queen, Navy)</t>
        </is>
      </c>
      <c r="D142" s="86" t="inlineStr">
        <is>
          <t>Poor</t>
        </is>
      </c>
      <c r="E142" s="87" t="inlineStr">
        <is>
          <t>B0DM3GDCTR</t>
        </is>
      </c>
      <c r="F142" s="87" t="inlineStr">
        <is>
          <t>B0D3XQM7DL</t>
        </is>
      </c>
      <c r="G142" s="86" t="inlineStr">
        <is>
          <t>Queen</t>
        </is>
      </c>
      <c r="H142" s="86" t="inlineStr">
        <is>
          <t>Navy</t>
        </is>
      </c>
      <c r="I142" s="88" t="n">
        <v>74</v>
      </c>
      <c r="J142" s="32" t="inlineStr"/>
      <c r="K142" s="89" t="n">
        <v>51.29</v>
      </c>
      <c r="L142" s="89" t="n">
        <v>62.99</v>
      </c>
      <c r="M142" s="90">
        <f>IF(AND(ISNUMBER(L142),ISNUMBER(K142),N(K142)&gt;0),L142/K142-1,"")</f>
        <v/>
      </c>
      <c r="N142" s="91">
        <f>IF(M142="","No List Price",IF(M142&lt;=0,"At/below price",IF(M142&lt;=0.12,"&lt;=12% STR zone",IF(M142&lt;=0.25,"12-25%","&gt;25% over"))))</f>
        <v/>
      </c>
      <c r="O142" s="89" t="n">
        <v>68.48999999999999</v>
      </c>
      <c r="P142" s="92">
        <f>IF(AND(ISNUMBER(K142),ISNUMBER(O142),N(O142)&gt;0),K142/O142-1,"")</f>
        <v/>
      </c>
      <c r="Q142" s="32" t="inlineStr">
        <is>
          <t>Same size (Queen). Ours live: Helium 10 Xray, 2026-10-13; 2 children</t>
        </is>
      </c>
      <c r="R142" s="88" t="n">
        <v>33959</v>
      </c>
      <c r="S142" s="88" t="n">
        <v>35</v>
      </c>
      <c r="T142" s="93">
        <f>IF(AND(ISNUMBER(K142),ISNUMBER(S142)),K142*S142*52/12,"")</f>
        <v/>
      </c>
      <c r="U142" s="94" t="n">
        <v>4.4</v>
      </c>
      <c r="V142" s="88" t="n">
        <v>674</v>
      </c>
      <c r="W142" s="95" t="n">
        <v>46307</v>
      </c>
      <c r="X142" s="95" t="n">
        <v>45423</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c r="AR142" s="98" t="inlineStr">
        <is>
          <t>Y</t>
        </is>
      </c>
      <c r="AS142" s="98" t="inlineStr">
        <is>
          <t>Typical price</t>
        </is>
      </c>
      <c r="AT142" s="99" t="n">
        <v>62.99</v>
      </c>
      <c r="AU142" s="99" t="n">
        <v>51.29</v>
      </c>
      <c r="AV142" s="98" t="inlineStr">
        <is>
          <t>Limited time deal</t>
        </is>
      </c>
      <c r="AW142" s="98" t="inlineStr">
        <is>
          <t>Y</t>
        </is>
      </c>
      <c r="AX142" s="98" t="inlineStr">
        <is>
          <t>2026-10-13 23:36:21</t>
        </is>
      </c>
      <c r="AY142" s="100" t="inlineStr">
        <is>
          <t>Price cut only</t>
        </is>
      </c>
      <c r="AZ142" s="100" t="inlineStr">
        <is>
          <t>11-20 to 12-01</t>
        </is>
      </c>
      <c r="BA142" s="101" t="n">
        <v>62.99</v>
      </c>
      <c r="BB142" s="101" t="n">
        <v>45.89</v>
      </c>
      <c r="BC142" s="90">
        <f>IF(AND(ISNUMBER(BA142),ISNUMBER(BB142),N(BA142)&gt;0),1-BB142/BA142,"")</f>
        <v/>
      </c>
      <c r="BD142" s="102" t="n">
        <v>44317</v>
      </c>
      <c r="BE142" s="102" t="n">
        <v>18465</v>
      </c>
      <c r="BF142" s="103">
        <f>IF(AND(ISNUMBER(BD142),ISNUMBER(BE142),N(BE142)&gt;0),BD142/BE142,"")</f>
        <v/>
      </c>
      <c r="BG142" s="100" t="inlineStr">
        <is>
          <t>N</t>
        </is>
      </c>
      <c r="BH142" s="100" t="inlineStr">
        <is>
          <t>List Price $107.98</t>
        </is>
      </c>
    </row>
    <row r="143" ht="62" customHeight="1">
      <c r="A143" s="10">
        <f>_xlfn.IMAGE("https://images-na.ssl-images-amazon.com/images/I/71+O+E9PlaL.jpg")</f>
        <v/>
      </c>
      <c r="B143" s="86" t="inlineStr">
        <is>
          <t>Shilucheng</t>
        </is>
      </c>
      <c r="C143" s="32" t="inlineStr">
        <is>
          <t>Shilucheng 100% Viscose Derived from Bamboo_ Sheets Queen Size 4pcs</t>
        </is>
      </c>
      <c r="D143" s="86" t="inlineStr">
        <is>
          <t>Poor</t>
        </is>
      </c>
      <c r="E143" s="87" t="inlineStr">
        <is>
          <t>B0HK5V5KL1</t>
        </is>
      </c>
      <c r="F143" s="87" t="inlineStr">
        <is>
          <t>B09PYKYCCF</t>
        </is>
      </c>
      <c r="G143" s="86" t="inlineStr">
        <is>
          <t>Queen</t>
        </is>
      </c>
      <c r="H143" s="86" t="inlineStr">
        <is>
          <t>01 - Dark Grey</t>
        </is>
      </c>
      <c r="I143" s="88" t="n">
        <v>79</v>
      </c>
      <c r="J143" s="32" t="inlineStr"/>
      <c r="K143" s="89" t="n">
        <v>46.66</v>
      </c>
      <c r="L143" s="89" t="n">
        <v>54.9</v>
      </c>
      <c r="M143" s="90">
        <f>IF(AND(ISNUMBER(L143),ISNUMBER(K143),N(K143)&gt;0),L143/K143-1,"")</f>
        <v/>
      </c>
      <c r="N143" s="91">
        <f>IF(M143="","No List Price",IF(M143&lt;=0,"At/below price",IF(M143&lt;=0.12,"&lt;=12% STR zone",IF(M143&lt;=0.25,"12-25%","&gt;25% over"))))</f>
        <v/>
      </c>
      <c r="O143" s="89" t="n">
        <v>68.48999999999999</v>
      </c>
      <c r="P143" s="92">
        <f>IF(AND(ISNUMBER(K143),ISNUMBER(O143),N(O143)&gt;0),K143/O143-1,"")</f>
        <v/>
      </c>
      <c r="Q143" s="32" t="inlineStr">
        <is>
          <t>Same size (Queen). Ours live: Helium 10 Xray, 2026-10-13; 2 children</t>
        </is>
      </c>
      <c r="R143" s="88" t="n">
        <v>26043</v>
      </c>
      <c r="S143" s="88" t="n">
        <v>35</v>
      </c>
      <c r="T143" s="93">
        <f>IF(AND(ISNUMBER(K143),ISNUMBER(S143)),K143*S143*52/12,"")</f>
        <v/>
      </c>
      <c r="U143" s="94" t="n">
        <v>4.4</v>
      </c>
      <c r="V143" s="88" t="n">
        <v>6629</v>
      </c>
      <c r="W143" s="95" t="n">
        <v>46307</v>
      </c>
      <c r="X143" s="95" t="n">
        <v>44652</v>
      </c>
      <c r="Y143" s="86" t="inlineStr">
        <is>
          <t>FBA</t>
        </is>
      </c>
      <c r="Z143" s="86" t="inlineStr">
        <is>
          <t>CN</t>
        </is>
      </c>
      <c r="AA143" s="88" t="n"/>
      <c r="AB143" s="88" t="n"/>
      <c r="AC143" s="96" t="n"/>
      <c r="AD143" s="96" t="n"/>
      <c r="AE143" s="32" t="n"/>
      <c r="AF143" s="96" t="n"/>
      <c r="AG143" s="96" t="n"/>
      <c r="AH143" s="96" t="n"/>
      <c r="AI143" s="96" t="n"/>
      <c r="AJ143" s="88" t="n"/>
      <c r="AK143" s="88" t="n"/>
      <c r="AL143" s="88" t="n"/>
      <c r="AM143" s="88" t="n"/>
      <c r="AN143" s="88" t="n"/>
      <c r="AO143" s="88" t="n"/>
      <c r="AP143" s="97" t="n"/>
      <c r="AQ143" s="92" t="n">
        <v>-0.9774436090225564</v>
      </c>
      <c r="AR143" s="98" t="inlineStr">
        <is>
          <t>Y</t>
        </is>
      </c>
      <c r="AS143" s="98" t="inlineStr">
        <is>
          <t>List Price</t>
        </is>
      </c>
      <c r="AT143" s="99" t="n">
        <v>54.9</v>
      </c>
      <c r="AU143" s="99" t="n">
        <v>46.66</v>
      </c>
      <c r="AV143" s="98" t="inlineStr">
        <is>
          <t>Limited time deal</t>
        </is>
      </c>
      <c r="AW143" s="98" t="inlineStr">
        <is>
          <t>Y</t>
        </is>
      </c>
      <c r="AX143" s="98" t="inlineStr">
        <is>
          <t>2026-10-13 23:36:49</t>
        </is>
      </c>
      <c r="AY143" s="100" t="inlineStr">
        <is>
          <t>Prime Exclusive Discount</t>
        </is>
      </c>
      <c r="AZ143" s="100" t="inlineStr">
        <is>
          <t>11-23 to 12-01</t>
        </is>
      </c>
      <c r="BA143" s="101" t="n">
        <v>54.9</v>
      </c>
      <c r="BB143" s="101" t="n">
        <v>46.64</v>
      </c>
      <c r="BC143" s="90">
        <f>IF(AND(ISNUMBER(BA143),ISNUMBER(BB143),N(BA143)&gt;0),1-BB143/BA143,"")</f>
        <v/>
      </c>
      <c r="BD143" s="102" t="n">
        <v>15970</v>
      </c>
      <c r="BE143" s="102" t="n">
        <v>18592</v>
      </c>
      <c r="BF143" s="103">
        <f>IF(AND(ISNUMBER(BD143),ISNUMBER(BE143),N(BE143)&gt;0),BD143/BE143,"")</f>
        <v/>
      </c>
      <c r="BG143" s="100" t="inlineStr">
        <is>
          <t>N</t>
        </is>
      </c>
      <c r="BH143" s="100" t="inlineStr">
        <is>
          <t>Buy Box RAISED in BFCM week (median $58.30 vs $54.90 before); List Price $59.90</t>
        </is>
      </c>
    </row>
    <row r="144" ht="62" customHeight="1">
      <c r="A144" s="10">
        <f>_xlfn.IMAGE("https://m.media-amazon.com/images/I/71zexS-HoPL._AC_SL1500_.jpg")</f>
        <v/>
      </c>
      <c r="B144" s="86" t="inlineStr">
        <is>
          <t>Bamtek</t>
        </is>
      </c>
      <c r="C144" s="32" t="inlineStr">
        <is>
          <t>Viscose Bamboo Sheets Queen Size 4PC Set - Cooling Bedding for Hot Sleepers with</t>
        </is>
      </c>
      <c r="D144" s="86" t="inlineStr">
        <is>
          <t>Poor</t>
        </is>
      </c>
      <c r="E144" s="87" t="inlineStr">
        <is>
          <t>B0CZHCZQZ3</t>
        </is>
      </c>
      <c r="F144" s="87" t="inlineStr">
        <is>
          <t>B09TQ6ZVKZ</t>
        </is>
      </c>
      <c r="G144" s="86" t="inlineStr">
        <is>
          <t>Queen</t>
        </is>
      </c>
      <c r="H144" s="86" t="inlineStr">
        <is>
          <t>Sage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68.48999999999999</v>
      </c>
      <c r="P144" s="92">
        <f>IF(AND(ISNUMBER(K144),ISNUMBER(O144),N(O144)&gt;0),K144/O144-1,"")</f>
        <v/>
      </c>
      <c r="Q144" s="32" t="inlineStr">
        <is>
          <t>Same size (Queen). Ours live: Helium 10 Xray, 2026-10-13; 2 children</t>
        </is>
      </c>
      <c r="R144" s="88" t="n">
        <v>79376</v>
      </c>
      <c r="S144" s="88" t="n">
        <v>18</v>
      </c>
      <c r="T144" s="93">
        <f>IF(AND(ISNUMBER(K144),ISNUMBER(S144)),K144*S144*52/12,"")</f>
        <v/>
      </c>
      <c r="U144" s="94" t="n">
        <v>4.4</v>
      </c>
      <c r="V144" s="88" t="n">
        <v>641</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94.98999999999999</v>
      </c>
      <c r="AV144" s="98" t="inlineStr">
        <is>
          <t>none</t>
        </is>
      </c>
      <c r="AW144" s="98" t="inlineStr">
        <is>
          <t>Y</t>
        </is>
      </c>
      <c r="AX144" s="98" t="inlineStr">
        <is>
          <t>2026-10-13 23:35:47</t>
        </is>
      </c>
      <c r="AY144" s="100" t="inlineStr">
        <is>
          <t>Prime Exclusive Discount</t>
        </is>
      </c>
      <c r="AZ144" s="100" t="inlineStr">
        <is>
          <t>11-24 to 12-01</t>
        </is>
      </c>
      <c r="BA144" s="101" t="n">
        <v>104.99</v>
      </c>
      <c r="BB144" s="101" t="n">
        <v>83.98999999999999</v>
      </c>
      <c r="BC144" s="90">
        <f>IF(AND(ISNUMBER(BA144),ISNUMBER(BB144),N(BA144)&gt;0),1-BB144/BA144,"")</f>
        <v/>
      </c>
      <c r="BD144" s="102" t="n">
        <v>99218</v>
      </c>
      <c r="BE144" s="102" t="n">
        <v>70530</v>
      </c>
      <c r="BF144" s="103">
        <f>IF(AND(ISNUMBER(BD144),ISNUMBER(BE144),N(BE144)&gt;0),BD144/BE144,"")</f>
        <v/>
      </c>
      <c r="BG144" s="100" t="inlineStr">
        <is>
          <t>N</t>
        </is>
      </c>
      <c r="BH144" s="100" t="inlineStr">
        <is>
          <t>Coupon 40.00 USD (11-01 to 11-10); List Price $129.99</t>
        </is>
      </c>
    </row>
    <row r="145" ht="62" customHeight="1">
      <c r="A145" s="10">
        <f>_xlfn.IMAGE("https://images-na.ssl-images-amazon.com/images/I/61imzycbiwL.jpg")</f>
        <v/>
      </c>
      <c r="B145" s="86" t="inlineStr">
        <is>
          <t>JSD</t>
        </is>
      </c>
      <c r="C145" s="32" t="inlineStr">
        <is>
          <t>JSD Sage Green 100% Viscose Derived from Bamboo Cooling Sheet Set Queen</t>
        </is>
      </c>
      <c r="D145" s="86" t="inlineStr">
        <is>
          <t>Poor</t>
        </is>
      </c>
      <c r="E145" s="87" t="inlineStr">
        <is>
          <t>B0DTY15N29</t>
        </is>
      </c>
      <c r="F145" s="87" t="inlineStr">
        <is>
          <t>B0DSZTLBV1</t>
        </is>
      </c>
      <c r="G145" s="86" t="inlineStr">
        <is>
          <t>Queen</t>
        </is>
      </c>
      <c r="H145" s="86" t="inlineStr">
        <is>
          <t>Green</t>
        </is>
      </c>
      <c r="I145" s="88" t="n">
        <v>32</v>
      </c>
      <c r="J145" s="32" t="inlineStr"/>
      <c r="K145" s="89" t="n">
        <v>56.99</v>
      </c>
      <c r="L145" s="89" t="n"/>
      <c r="M145" s="90">
        <f>IF(AND(ISNUMBER(L145),ISNUMBER(K145),N(K145)&gt;0),L145/K145-1,"")</f>
        <v/>
      </c>
      <c r="N145" s="91">
        <f>IF(M145="","No List Price",IF(M145&lt;=0,"At/below price",IF(M145&lt;=0.12,"&lt;=12% STR zone",IF(M145&lt;=0.25,"12-25%","&gt;25% over"))))</f>
        <v/>
      </c>
      <c r="O145" s="89" t="n">
        <v>68.48999999999999</v>
      </c>
      <c r="P145" s="92">
        <f>IF(AND(ISNUMBER(K145),ISNUMBER(O145),N(O145)&gt;0),K145/O145-1,"")</f>
        <v/>
      </c>
      <c r="Q145" s="32" t="inlineStr">
        <is>
          <t>Same size (Queen). Ours live: Helium 10 Xray, 2026-10-13; 2 children</t>
        </is>
      </c>
      <c r="R145" s="88" t="n">
        <v>76312</v>
      </c>
      <c r="S145" s="88" t="n">
        <v>18</v>
      </c>
      <c r="T145" s="93">
        <f>IF(AND(ISNUMBER(K145),ISNUMBER(S145)),K145*S145*52/12,"")</f>
        <v/>
      </c>
      <c r="U145" s="94" t="n">
        <v>4.3</v>
      </c>
      <c r="V145" s="88" t="n">
        <v>281</v>
      </c>
      <c r="W145" s="95" t="n">
        <v>46307</v>
      </c>
      <c r="X145" s="95" t="n">
        <v>45671</v>
      </c>
      <c r="Y145" s="86" t="inlineStr">
        <is>
          <t>FBA</t>
        </is>
      </c>
      <c r="Z145" s="86" t="inlineStr">
        <is>
          <t>CN</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56.99</v>
      </c>
      <c r="AV145" s="98" t="inlineStr">
        <is>
          <t>none</t>
        </is>
      </c>
      <c r="AW145" s="98" t="inlineStr">
        <is>
          <t>Y</t>
        </is>
      </c>
      <c r="AX145" s="98" t="inlineStr">
        <is>
          <t>2026-10-13 23:36:24</t>
        </is>
      </c>
      <c r="AY145" s="100" t="inlineStr">
        <is>
          <t>None</t>
        </is>
      </c>
      <c r="AZ145" s="105" t="n"/>
      <c r="BA145" s="101" t="n">
        <v>56.99</v>
      </c>
      <c r="BB145" s="101" t="n">
        <v>56.99</v>
      </c>
      <c r="BC145" s="90">
        <f>IF(AND(ISNUMBER(BA145),ISNUMBER(BB145),N(BA145)&gt;0),1-BB145/BA145,"")</f>
        <v/>
      </c>
      <c r="BD145" s="102" t="n">
        <v>97969</v>
      </c>
      <c r="BE145" s="102" t="n">
        <v>108941</v>
      </c>
      <c r="BF145" s="103">
        <f>IF(AND(ISNUMBER(BD145),ISNUMBER(BE145),N(BE145)&gt;0),BD145/BE145,"")</f>
        <v/>
      </c>
      <c r="BG145" s="100" t="inlineStr">
        <is>
          <t>N</t>
        </is>
      </c>
      <c r="BH145" s="100" t="inlineStr">
        <is>
          <t>Coupon 5% (11-01 to 11-17); List Price $74.99</t>
        </is>
      </c>
    </row>
    <row r="146" ht="62" customHeight="1">
      <c r="A146" s="10">
        <f>_xlfn.IMAGE("https://images-na.ssl-images-amazon.com/images/I/71zrq2AtnUL.jpg")</f>
        <v/>
      </c>
      <c r="B146" s="86" t="inlineStr">
        <is>
          <t>Kickoff Home</t>
        </is>
      </c>
      <c r="C146" s="32" t="inlineStr">
        <is>
          <t>Bamboo Sheets</t>
        </is>
      </c>
      <c r="D146" s="86" t="inlineStr">
        <is>
          <t>Poor</t>
        </is>
      </c>
      <c r="E146" s="87" t="inlineStr">
        <is>
          <t>B0D4KS4MVX</t>
        </is>
      </c>
      <c r="F146" s="87" t="inlineStr">
        <is>
          <t>B0CHN5ZPFH</t>
        </is>
      </c>
      <c r="G146" s="86" t="inlineStr">
        <is>
          <t>King</t>
        </is>
      </c>
      <c r="H146" s="86" t="inlineStr">
        <is>
          <t>Sage Green</t>
        </is>
      </c>
      <c r="I146" s="88" t="n">
        <v>106</v>
      </c>
      <c r="J146" s="32" t="inlineStr">
        <is>
          <t>B0CHN5ZPFH (27%), B0CHN6N986 (11%), B0G84K7MZQ (9%), B0G84MQQX4 (8%), B0CHN4BSZP (5%)</t>
        </is>
      </c>
      <c r="K146" s="89" t="n">
        <v>86.98999999999999</v>
      </c>
      <c r="L146" s="89" t="n">
        <v>84.98999999999999</v>
      </c>
      <c r="M146" s="90">
        <f>IF(AND(ISNUMBER(L146),ISNUMBER(K146),N(K146)&gt;0),L146/K146-1,"")</f>
        <v/>
      </c>
      <c r="N146" s="91">
        <f>IF(M146="","No List Price",IF(M146&lt;=0,"At/below price",IF(M146&lt;=0.12,"&lt;=12% STR zone",IF(M146&lt;=0.25,"12-25%","&gt;25% over"))))</f>
        <v/>
      </c>
      <c r="O146" s="89" t="n">
        <v>69.98999999999999</v>
      </c>
      <c r="P146" s="92">
        <f>IF(AND(ISNUMBER(K146),ISNUMBER(O146),N(O146)&gt;0),K146/O146-1,"")</f>
        <v/>
      </c>
      <c r="Q146" s="32" t="inlineStr">
        <is>
          <t>Same size (King). Ours live: Helium 10 Xray, 2026-10-13; 5 children</t>
        </is>
      </c>
      <c r="R146" s="88" t="n">
        <v>23579</v>
      </c>
      <c r="S146" s="88" t="n">
        <v>18</v>
      </c>
      <c r="T146" s="93">
        <f>IF(AND(ISNUMBER(K146),ISNUMBER(S146)),K146*S146*52/12,"")</f>
        <v/>
      </c>
      <c r="U146" s="94" t="n">
        <v>4.6</v>
      </c>
      <c r="V146" s="88" t="n">
        <v>688</v>
      </c>
      <c r="W146" s="95" t="n">
        <v>46307</v>
      </c>
      <c r="X146" s="95" t="n"/>
      <c r="Y146" s="86" t="n"/>
      <c r="Z146" s="86" t="n"/>
      <c r="AA146" s="88" t="n">
        <v>58169</v>
      </c>
      <c r="AB146" s="88" t="n">
        <v>1164</v>
      </c>
      <c r="AC146" s="96" t="n">
        <v>0.8765498702057799</v>
      </c>
      <c r="AD146" s="96" t="n">
        <v>0.12345023981846</v>
      </c>
      <c r="AE146" s="32" t="inlineStr">
        <is>
          <t>bamboo sheets</t>
        </is>
      </c>
      <c r="AF146" s="96" t="n">
        <v>0.6749987106534409</v>
      </c>
      <c r="AG146" s="96" t="n"/>
      <c r="AH146" s="96" t="n">
        <v>0.08715982739947395</v>
      </c>
      <c r="AI146" s="96" t="n">
        <v>0.0003782083240213859</v>
      </c>
      <c r="AJ146" s="88" t="n">
        <v>341</v>
      </c>
      <c r="AK146" s="88" t="n">
        <v>54</v>
      </c>
      <c r="AL146" s="88" t="n">
        <v>236</v>
      </c>
      <c r="AM146" s="88" t="n">
        <v>823</v>
      </c>
      <c r="AN146" s="88" t="n">
        <v>117</v>
      </c>
      <c r="AO146" s="88" t="n">
        <v>1</v>
      </c>
      <c r="AP146" s="97" t="n"/>
      <c r="AQ146" s="92" t="n"/>
      <c r="AR146" s="98" t="inlineStr">
        <is>
          <t>N</t>
        </is>
      </c>
      <c r="AS146" s="98" t="inlineStr">
        <is>
          <t>none</t>
        </is>
      </c>
      <c r="AT146" s="104" t="n"/>
      <c r="AU146" s="99" t="n">
        <v>86.98999999999999</v>
      </c>
      <c r="AV146" s="98" t="inlineStr">
        <is>
          <t>none</t>
        </is>
      </c>
      <c r="AW146" s="98" t="inlineStr">
        <is>
          <t>Y</t>
        </is>
      </c>
      <c r="AX146" s="98" t="inlineStr">
        <is>
          <t>2026-10-13 23:36:30</t>
        </is>
      </c>
      <c r="AY146" s="100" t="inlineStr">
        <is>
          <t>Price cut only</t>
        </is>
      </c>
      <c r="AZ146" s="100" t="inlineStr">
        <is>
          <t>11-21 to 12-01</t>
        </is>
      </c>
      <c r="BA146" s="101" t="n">
        <v>118.99</v>
      </c>
      <c r="BB146" s="101" t="n">
        <v>79.13</v>
      </c>
      <c r="BC146" s="90">
        <f>IF(AND(ISNUMBER(BA146),ISNUMBER(BB146),N(BA146)&gt;0),1-BB146/BA146,"")</f>
        <v/>
      </c>
      <c r="BD146" s="102" t="n">
        <v>70541</v>
      </c>
      <c r="BE146" s="102" t="n">
        <v>28546</v>
      </c>
      <c r="BF146" s="103">
        <f>IF(AND(ISNUMBER(BD146),ISNUMBER(BE146),N(BE146)&gt;0),BD146/BE146,"")</f>
        <v/>
      </c>
      <c r="BG146" s="100" t="inlineStr">
        <is>
          <t>N</t>
        </is>
      </c>
      <c r="BH146" s="100" t="inlineStr">
        <is>
          <t>Coupon 25% (11-01 to 11-05); List Price $124.99</t>
        </is>
      </c>
    </row>
    <row r="147" ht="62" customHeight="1">
      <c r="A147" s="10">
        <f>_xlfn.IMAGE("https://m.media-amazon.com/images/I/81xjJeiirqL._AC_SL1500_.jpg")</f>
        <v/>
      </c>
      <c r="B147" s="86" t="inlineStr">
        <is>
          <t>LB Luxury Bamboo Market</t>
        </is>
      </c>
      <c r="C147" s="32" t="inlineStr">
        <is>
          <t>Bamboo Sheets</t>
        </is>
      </c>
      <c r="D147" s="86" t="inlineStr">
        <is>
          <t>Poor</t>
        </is>
      </c>
      <c r="E147" s="87" t="inlineStr">
        <is>
          <t>B0D1HWHDL2</t>
        </is>
      </c>
      <c r="F147" s="87" t="inlineStr">
        <is>
          <t>B0CH7N9WVC</t>
        </is>
      </c>
      <c r="G147" s="86" t="inlineStr">
        <is>
          <t>Queen</t>
        </is>
      </c>
      <c r="H147" s="86" t="inlineStr">
        <is>
          <t>Dune</t>
        </is>
      </c>
      <c r="I147" s="88" t="n"/>
      <c r="J147" s="32" t="inlineStr"/>
      <c r="K147" s="89" t="n">
        <v>129.94</v>
      </c>
      <c r="L147" s="89" t="n"/>
      <c r="M147" s="90">
        <f>IF(AND(ISNUMBER(L147),ISNUMBER(K147),N(K147)&gt;0),L147/K147-1,"")</f>
        <v/>
      </c>
      <c r="N147" s="91">
        <f>IF(M147="","No List Price",IF(M147&lt;=0,"At/below price",IF(M147&lt;=0.12,"&lt;=12% STR zone",IF(M147&lt;=0.25,"12-25%","&gt;25% over"))))</f>
        <v/>
      </c>
      <c r="O147" s="89" t="n">
        <v>68.48999999999999</v>
      </c>
      <c r="P147" s="92">
        <f>IF(AND(ISNUMBER(K147),ISNUMBER(O147),N(O147)&gt;0),K147/O147-1,"")</f>
        <v/>
      </c>
      <c r="Q147" s="32" t="inlineStr">
        <is>
          <t>Same size (Queen). Ours live: Helium 10 Xray, 2026-10-13; 2 children</t>
        </is>
      </c>
      <c r="R147" s="88" t="n">
        <v>47800</v>
      </c>
      <c r="S147" s="88" t="n">
        <v>18</v>
      </c>
      <c r="T147" s="93">
        <f>IF(AND(ISNUMBER(K147),ISNUMBER(S147)),K147*S147*52/12,"")</f>
        <v/>
      </c>
      <c r="U147" s="94" t="n">
        <v>4.5</v>
      </c>
      <c r="V147" s="88" t="n">
        <v>517</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99" t="n">
        <v>129.94</v>
      </c>
      <c r="AV147" s="98" t="inlineStr">
        <is>
          <t>none</t>
        </is>
      </c>
      <c r="AW147" s="98" t="inlineStr">
        <is>
          <t>Y</t>
        </is>
      </c>
      <c r="AX147" s="98" t="inlineStr">
        <is>
          <t>2026-10-13 23:36:34</t>
        </is>
      </c>
      <c r="AY147" s="100" t="inlineStr">
        <is>
          <t>Prime Exclusive Discount</t>
        </is>
      </c>
      <c r="AZ147" s="100" t="inlineStr">
        <is>
          <t>11-26 to 12-01</t>
        </is>
      </c>
      <c r="BA147" s="101" t="n">
        <v>119.94</v>
      </c>
      <c r="BB147" s="101" t="n">
        <v>103.95</v>
      </c>
      <c r="BC147" s="90">
        <f>IF(AND(ISNUMBER(BA147),ISNUMBER(BB147),N(BA147)&gt;0),1-BB147/BA147,"")</f>
        <v/>
      </c>
      <c r="BD147" s="102" t="n">
        <v>73868</v>
      </c>
      <c r="BE147" s="102" t="n">
        <v>96746</v>
      </c>
      <c r="BF147" s="103">
        <f>IF(AND(ISNUMBER(BD147),ISNUMBER(BE147),N(BE147)&gt;0),BD147/BE147,"")</f>
        <v/>
      </c>
      <c r="BG147" s="100" t="inlineStr">
        <is>
          <t>N</t>
        </is>
      </c>
      <c r="BH147" s="100" t="inlineStr">
        <is>
          <t>List Price $159.94</t>
        </is>
      </c>
    </row>
    <row r="148" ht="62" customHeight="1">
      <c r="A148" s="10">
        <f>_xlfn.IMAGE("https://images-na.ssl-images-amazon.com/images/I/71NxE1i+4jL.jpg")</f>
        <v/>
      </c>
      <c r="B148" s="86" t="inlineStr">
        <is>
          <t>Shilucheng</t>
        </is>
      </c>
      <c r="C148" s="32" t="inlineStr">
        <is>
          <t>Shilucheng 100% Viscose Derived from Bamboo_Sheets, Extra Deep Pocket</t>
        </is>
      </c>
      <c r="D148" s="86" t="inlineStr">
        <is>
          <t>Poor</t>
        </is>
      </c>
      <c r="E148" s="87" t="inlineStr">
        <is>
          <t>B0HJVD7X1R</t>
        </is>
      </c>
      <c r="F148" s="87" t="inlineStr">
        <is>
          <t>B0F2TBWTZR</t>
        </is>
      </c>
      <c r="G148" s="86" t="inlineStr">
        <is>
          <t>King</t>
        </is>
      </c>
      <c r="H148" s="86" t="inlineStr">
        <is>
          <t>Dark Grey</t>
        </is>
      </c>
      <c r="I148" s="88" t="n">
        <v>32</v>
      </c>
      <c r="J148" s="32" t="inlineStr"/>
      <c r="K148" s="89" t="n">
        <v>69.98999999999999</v>
      </c>
      <c r="L148" s="89" t="n">
        <v>84.98999999999999</v>
      </c>
      <c r="M148" s="90">
        <f>IF(AND(ISNUMBER(L148),ISNUMBER(K148),N(K148)&gt;0),L148/K148-1,"")</f>
        <v/>
      </c>
      <c r="N148" s="91">
        <f>IF(M148="","No List Price",IF(M148&lt;=0,"At/below price",IF(M148&lt;=0.12,"&lt;=12% STR zone",IF(M148&lt;=0.25,"12-25%","&gt;25% over"))))</f>
        <v/>
      </c>
      <c r="O148" s="89" t="n">
        <v>69.98999999999999</v>
      </c>
      <c r="P148" s="92">
        <f>IF(AND(ISNUMBER(K148),ISNUMBER(O148),N(O148)&gt;0),K148/O148-1,"")</f>
        <v/>
      </c>
      <c r="Q148" s="32" t="inlineStr">
        <is>
          <t>Same size (King). Ours live: Helium 10 Xray, 2026-10-13; 5 children</t>
        </is>
      </c>
      <c r="R148" s="88" t="n">
        <v>39194</v>
      </c>
      <c r="S148" s="88" t="n">
        <v>18</v>
      </c>
      <c r="T148" s="93">
        <f>IF(AND(ISNUMBER(K148),ISNUMBER(S148)),K148*S148*52/12,"")</f>
        <v/>
      </c>
      <c r="U148" s="94" t="n">
        <v>4.5</v>
      </c>
      <c r="V148" s="88" t="n">
        <v>1639</v>
      </c>
      <c r="W148" s="95" t="n">
        <v>46307</v>
      </c>
      <c r="X148" s="95" t="n">
        <v>45744</v>
      </c>
      <c r="Y148" s="86" t="inlineStr">
        <is>
          <t>FBA</t>
        </is>
      </c>
      <c r="Z148" s="86" t="inlineStr">
        <is>
          <t>CN</t>
        </is>
      </c>
      <c r="AA148" s="88" t="n"/>
      <c r="AB148" s="88" t="n"/>
      <c r="AC148" s="96" t="n"/>
      <c r="AD148" s="96" t="n"/>
      <c r="AE148" s="32" t="n"/>
      <c r="AF148" s="96" t="n"/>
      <c r="AG148" s="96" t="n"/>
      <c r="AH148" s="96" t="n"/>
      <c r="AI148" s="96" t="n"/>
      <c r="AJ148" s="88" t="n"/>
      <c r="AK148" s="88" t="n"/>
      <c r="AL148" s="88" t="n"/>
      <c r="AM148" s="88" t="n"/>
      <c r="AN148" s="88" t="n"/>
      <c r="AO148" s="88" t="n"/>
      <c r="AP148" s="97" t="n"/>
      <c r="AQ148" s="92" t="n">
        <v>-0.9655172413793104</v>
      </c>
      <c r="AR148" s="98" t="inlineStr">
        <is>
          <t>Y</t>
        </is>
      </c>
      <c r="AS148" s="98" t="inlineStr">
        <is>
          <t>List Price</t>
        </is>
      </c>
      <c r="AT148" s="99" t="n">
        <v>84.98999999999999</v>
      </c>
      <c r="AU148" s="99" t="n">
        <v>69.98999999999999</v>
      </c>
      <c r="AV148" s="98" t="inlineStr">
        <is>
          <t>Limited time deal</t>
        </is>
      </c>
      <c r="AW148" s="98" t="inlineStr">
        <is>
          <t>Y</t>
        </is>
      </c>
      <c r="AX148" s="98" t="inlineStr">
        <is>
          <t>2026-10-13 23:36:52</t>
        </is>
      </c>
      <c r="AY148" s="100" t="inlineStr">
        <is>
          <t>Prime Exclusive Discount</t>
        </is>
      </c>
      <c r="AZ148" s="100" t="inlineStr">
        <is>
          <t>11-21 to 12-01</t>
        </is>
      </c>
      <c r="BA148" s="101" t="n">
        <v>84.98999999999999</v>
      </c>
      <c r="BB148" s="101" t="n">
        <v>64.59</v>
      </c>
      <c r="BC148" s="90">
        <f>IF(AND(ISNUMBER(BA148),ISNUMBER(BB148),N(BA148)&gt;0),1-BB148/BA148,"")</f>
        <v/>
      </c>
      <c r="BD148" s="102" t="n">
        <v>28104</v>
      </c>
      <c r="BE148" s="102" t="n">
        <v>38474</v>
      </c>
      <c r="BF148" s="103">
        <f>IF(AND(ISNUMBER(BD148),ISNUMBER(BE148),N(BE148)&gt;0),BD148/BE148,"")</f>
        <v/>
      </c>
      <c r="BG148" s="100" t="inlineStr">
        <is>
          <t>N</t>
        </is>
      </c>
      <c r="BH148" s="100" t="inlineStr">
        <is>
          <t>Coupon 20% (11-02 to 11-12); List Price $84.99</t>
        </is>
      </c>
    </row>
    <row r="149" ht="62" customHeight="1">
      <c r="A149" s="10">
        <f>_xlfn.IMAGE("https://m.media-amazon.com/images/I/61YnWQV27EL._AC_SL1024_.jpg")</f>
        <v/>
      </c>
      <c r="B149" s="86" t="inlineStr">
        <is>
          <t>Bamboo Bay</t>
        </is>
      </c>
      <c r="C149" s="32" t="inlineStr">
        <is>
          <t>Bamboo Sheets</t>
        </is>
      </c>
      <c r="D149" s="86" t="inlineStr">
        <is>
          <t>Poor</t>
        </is>
      </c>
      <c r="E149" s="87" t="inlineStr">
        <is>
          <t>B0DLF1SWJ5</t>
        </is>
      </c>
      <c r="F149" s="87" t="inlineStr">
        <is>
          <t>B07TBHLZJM</t>
        </is>
      </c>
      <c r="G149" s="86" t="inlineStr">
        <is>
          <t>Queen</t>
        </is>
      </c>
      <c r="H149" s="86" t="inlineStr">
        <is>
          <t>04 - Light Grey</t>
        </is>
      </c>
      <c r="I149" s="88" t="n"/>
      <c r="J149" s="32" t="inlineStr"/>
      <c r="K149" s="89" t="n">
        <v>79.98</v>
      </c>
      <c r="L149" s="89" t="n"/>
      <c r="M149" s="90">
        <f>IF(AND(ISNUMBER(L149),ISNUMBER(K149),N(K149)&gt;0),L149/K149-1,"")</f>
        <v/>
      </c>
      <c r="N149" s="91">
        <f>IF(M149="","No List Price",IF(M149&lt;=0,"At/below price",IF(M149&lt;=0.12,"&lt;=12% STR zone",IF(M149&lt;=0.25,"12-25%","&gt;25% over"))))</f>
        <v/>
      </c>
      <c r="O149" s="89" t="n">
        <v>68.48999999999999</v>
      </c>
      <c r="P149" s="92">
        <f>IF(AND(ISNUMBER(K149),ISNUMBER(O149),N(O149)&gt;0),K149/O149-1,"")</f>
        <v/>
      </c>
      <c r="Q149" s="32" t="inlineStr">
        <is>
          <t>Same size (Queen). Ours live: Helium 10 Xray, 2026-10-13; 2 children</t>
        </is>
      </c>
      <c r="R149" s="88" t="n">
        <v>131083</v>
      </c>
      <c r="S149" s="88" t="n">
        <v>5</v>
      </c>
      <c r="T149" s="93">
        <f>IF(AND(ISNUMBER(K149),ISNUMBER(S149)),K149*S149*52/12,"")</f>
        <v/>
      </c>
      <c r="U149" s="94" t="n">
        <v>4.5</v>
      </c>
      <c r="V149" s="88" t="n">
        <v>2691</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99" t="n">
        <v>79.98</v>
      </c>
      <c r="AV149" s="98" t="inlineStr">
        <is>
          <t>none</t>
        </is>
      </c>
      <c r="AW149" s="98" t="inlineStr">
        <is>
          <t>Y</t>
        </is>
      </c>
      <c r="AX149" s="98" t="inlineStr">
        <is>
          <t>2026-10-13 23:35:44</t>
        </is>
      </c>
      <c r="AY149" s="100" t="inlineStr">
        <is>
          <t>None</t>
        </is>
      </c>
      <c r="AZ149" s="105" t="n"/>
      <c r="BA149" s="101" t="n">
        <v>86.98999999999999</v>
      </c>
      <c r="BB149" s="101" t="n">
        <v>93.48</v>
      </c>
      <c r="BC149" s="90">
        <f>IF(AND(ISNUMBER(BA149),ISNUMBER(BB149),N(BA149)&gt;0),1-BB149/BA149,"")</f>
        <v/>
      </c>
      <c r="BD149" s="102" t="n">
        <v>43439</v>
      </c>
      <c r="BE149" s="102" t="n">
        <v>53047</v>
      </c>
      <c r="BF149" s="103">
        <f>IF(AND(ISNUMBER(BD149),ISNUMBER(BE149),N(BE149)&gt;0),BD149/BE149,"")</f>
        <v/>
      </c>
      <c r="BG149" s="100" t="inlineStr">
        <is>
          <t>N</t>
        </is>
      </c>
      <c r="BH149" s="100" t="inlineStr">
        <is>
          <t>Buy Box RAISED in BFCM week (median $109.98 vs $86.99 before); List Price $129.98</t>
        </is>
      </c>
    </row>
    <row r="150" ht="62" customHeight="1">
      <c r="A150" s="10">
        <f>_xlfn.IMAGE("https://m.media-amazon.com/images/I/61se+-YHOaL._AC_SL1500_.jpg")</f>
        <v/>
      </c>
      <c r="B150" s="86" t="inlineStr">
        <is>
          <t>LBRO2M</t>
        </is>
      </c>
      <c r="C150" s="32" t="inlineStr">
        <is>
          <t>LBRO2M Cooling Bed Sheet 100% Viscose Derived from Bamboo Sheet Set Queen Size 6</t>
        </is>
      </c>
      <c r="D150" s="86" t="inlineStr">
        <is>
          <t>Poor</t>
        </is>
      </c>
      <c r="E150" s="87" t="inlineStr">
        <is>
          <t>B0F9FK3L6J</t>
        </is>
      </c>
      <c r="F150" s="87" t="inlineStr">
        <is>
          <t>B0F9FK7SMW</t>
        </is>
      </c>
      <c r="G150" s="86" t="inlineStr">
        <is>
          <t>King 6 Pcs</t>
        </is>
      </c>
      <c r="H150" s="86" t="inlineStr">
        <is>
          <t>White</t>
        </is>
      </c>
      <c r="I150" s="88" t="n"/>
      <c r="J150" s="32" t="inlineStr"/>
      <c r="K150" s="89" t="n">
        <v>94.98999999999999</v>
      </c>
      <c r="L150" s="89" t="n"/>
      <c r="M150" s="90">
        <f>IF(AND(ISNUMBER(L150),ISNUMBER(K150),N(K150)&gt;0),L150/K150-1,"")</f>
        <v/>
      </c>
      <c r="N150" s="91">
        <f>IF(M150="","No List Price",IF(M150&lt;=0,"At/below price",IF(M150&lt;=0.12,"&lt;=12% STR zone",IF(M150&lt;=0.25,"12-25%","&gt;25% over"))))</f>
        <v/>
      </c>
      <c r="O150" s="89" t="n">
        <v>67.06792207792205</v>
      </c>
      <c r="P150" s="92">
        <f>IF(AND(ISNUMBER(K150),ISNUMBER(O150),N(O150)&gt;0),K150/O150-1,"")</f>
        <v/>
      </c>
      <c r="Q150" s="32" t="inlineStr">
        <is>
          <t>vs our blended price (Command Center, Mar 2026 - STALE)</t>
        </is>
      </c>
      <c r="R150" s="88" t="n">
        <v>1003118</v>
      </c>
      <c r="S150" s="88" t="n">
        <v>5</v>
      </c>
      <c r="T150" s="93">
        <f>IF(AND(ISNUMBER(K150),ISNUMBER(S150)),K150*S150*52/12,"")</f>
        <v/>
      </c>
      <c r="U150" s="94" t="n">
        <v>4.4</v>
      </c>
      <c r="V150" s="88" t="n">
        <v>18</v>
      </c>
      <c r="W150" s="95" t="n">
        <v>46307</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23:36:36</t>
        </is>
      </c>
      <c r="AY150" s="100" t="inlineStr">
        <is>
          <t>Prime Exclusive Discount</t>
        </is>
      </c>
      <c r="AZ150" s="100" t="inlineStr">
        <is>
          <t>11-22 to 12-01</t>
        </is>
      </c>
      <c r="BA150" s="101" t="n">
        <v>95.98999999999999</v>
      </c>
      <c r="BB150" s="101" t="n">
        <v>67.19</v>
      </c>
      <c r="BC150" s="90">
        <f>IF(AND(ISNUMBER(BA150),ISNUMBER(BB150),N(BA150)&gt;0),1-BB150/BA150,"")</f>
        <v/>
      </c>
      <c r="BD150" s="102" t="n">
        <v>114176</v>
      </c>
      <c r="BE150" s="102" t="n">
        <v>68746</v>
      </c>
      <c r="BF150" s="103">
        <f>IF(AND(ISNUMBER(BD150),ISNUMBER(BE150),N(BE150)&gt;0),BD150/BE150,"")</f>
        <v/>
      </c>
      <c r="BG150" s="100" t="inlineStr">
        <is>
          <t>N</t>
        </is>
      </c>
      <c r="BH150" s="100" t="inlineStr">
        <is>
          <t>Lightning Deal 11-01 to 11-01; List Price $179.97</t>
        </is>
      </c>
    </row>
    <row r="151" ht="62" customHeight="1">
      <c r="A151" s="10">
        <f>_xlfn.IMAGE("https://images-na.ssl-images-amazon.com/images/I/71gw0WpuNuL.jpg")</f>
        <v/>
      </c>
      <c r="B151" s="86" t="inlineStr">
        <is>
          <t>TWK</t>
        </is>
      </c>
      <c r="C151" s="32" t="inlineStr">
        <is>
          <t>TWK Luxury Sheet Set, Genuine 100% Organic Viscose Derived from Bamboo, Cooling &amp; Breathable, Silky Soft, Bedding Sheets &amp; Pillowcases (Mist Gray, King)</t>
        </is>
      </c>
      <c r="D151" s="86" t="inlineStr">
        <is>
          <t>Poor</t>
        </is>
      </c>
      <c r="E151" s="87" t="inlineStr">
        <is>
          <t>B0DYT2QWLC</t>
        </is>
      </c>
      <c r="F151" s="87" t="inlineStr">
        <is>
          <t>B0DYT2QWLC</t>
        </is>
      </c>
      <c r="G151" s="86" t="inlineStr">
        <is>
          <t>King</t>
        </is>
      </c>
      <c r="H151" s="86" t="inlineStr">
        <is>
          <t>Mist Gray</t>
        </is>
      </c>
      <c r="I151" s="88" t="n">
        <v>1</v>
      </c>
      <c r="J151" s="32" t="inlineStr"/>
      <c r="K151" s="89" t="n">
        <v>109.99</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5 children</t>
        </is>
      </c>
      <c r="R151" s="88" t="n">
        <v>1506045</v>
      </c>
      <c r="S151" s="88" t="n">
        <v>5</v>
      </c>
      <c r="T151" s="93">
        <f>IF(AND(ISNUMBER(K151),ISNUMBER(S151)),K151*S151*52/12,"")</f>
        <v/>
      </c>
      <c r="U151" s="94" t="n">
        <v>4.5</v>
      </c>
      <c r="V151" s="88" t="n">
        <v>39</v>
      </c>
      <c r="W151" s="95" t="n">
        <v>46307</v>
      </c>
      <c r="X151" s="95" t="n">
        <v>45716</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23:37:00</t>
        </is>
      </c>
      <c r="AY151" s="100" t="inlineStr">
        <is>
          <t>Coupon only</t>
        </is>
      </c>
      <c r="AZ151" s="100" t="inlineStr">
        <is>
          <t>11-20 to 12-05</t>
        </is>
      </c>
      <c r="BA151" s="101" t="n">
        <v>69</v>
      </c>
      <c r="BB151" s="101" t="n">
        <v>74</v>
      </c>
      <c r="BC151" s="90">
        <f>IF(AND(ISNUMBER(BA151),ISNUMBER(BB151),N(BA151)&gt;0),1-BB151/BA151,"")</f>
        <v/>
      </c>
      <c r="BD151" s="102" t="n">
        <v>46533</v>
      </c>
      <c r="BE151" s="102" t="n">
        <v>67944</v>
      </c>
      <c r="BF151" s="103">
        <f>IF(AND(ISNUMBER(BD151),ISNUMBER(BE151),N(BE151)&gt;0),BD151/BE151,"")</f>
        <v/>
      </c>
      <c r="BG151" s="100" t="inlineStr">
        <is>
          <t>N</t>
        </is>
      </c>
      <c r="BH151" s="100" t="inlineStr">
        <is>
          <t>Coupon 30%; Buy Box RAISED in BFCM week (median $79.00 vs $69.00 before); List Price $69.00</t>
        </is>
      </c>
    </row>
    <row r="152" ht="62" customHeight="1">
      <c r="A152" s="10">
        <f>_xlfn.IMAGE("https://images-na.ssl-images-amazon.com/images/I/71YlZk0Q9-L.jpg")</f>
        <v/>
      </c>
      <c r="B152" s="86" t="inlineStr">
        <is>
          <t>TWK</t>
        </is>
      </c>
      <c r="C152" s="32" t="inlineStr">
        <is>
          <t>TWK Luxury Sheet Set, Genuine 100% Viscose Derived from Bamboo, Cooling &amp; Breathable, Silky Soft, Bedding Sheets &amp; Pillowcases (White, King(78 * 80 * 15))</t>
        </is>
      </c>
      <c r="D152" s="86" t="inlineStr">
        <is>
          <t>Poor</t>
        </is>
      </c>
      <c r="E152" s="87" t="inlineStr">
        <is>
          <t>B0GVP3B7LS</t>
        </is>
      </c>
      <c r="F152" s="87" t="inlineStr">
        <is>
          <t>B0GVP3B7LS</t>
        </is>
      </c>
      <c r="G152" s="86" t="inlineStr">
        <is>
          <t>King</t>
        </is>
      </c>
      <c r="H152" s="86" t="inlineStr">
        <is>
          <t>White</t>
        </is>
      </c>
      <c r="I152" s="88" t="n">
        <v>1</v>
      </c>
      <c r="J152" s="32" t="inlineStr"/>
      <c r="K152" s="89" t="n">
        <v>46.74</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5 children</t>
        </is>
      </c>
      <c r="R152" s="88" t="n">
        <v>2065761</v>
      </c>
      <c r="S152" s="88" t="n">
        <v>5</v>
      </c>
      <c r="T152" s="93">
        <f>IF(AND(ISNUMBER(K152),ISNUMBER(S152)),K152*S152*52/12,"")</f>
        <v/>
      </c>
      <c r="U152" s="94" t="n">
        <v>4.5</v>
      </c>
      <c r="V152" s="88" t="n">
        <v>11</v>
      </c>
      <c r="W152" s="95" t="n">
        <v>46307</v>
      </c>
      <c r="X152" s="95" t="n">
        <v>46078</v>
      </c>
      <c r="Y152" s="86" t="inlineStr">
        <is>
          <t>FBM</t>
        </is>
      </c>
      <c r="Z152" s="86" t="inlineStr">
        <is>
          <t>N/A</t>
        </is>
      </c>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23:36:57</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_xlfn.IMAGE("https://m.media-amazon.com/images/I/61cLtklNnOL._AC_SL1486_.jpg")</f>
        <v/>
      </c>
      <c r="B153" s="86" t="inlineStr">
        <is>
          <t>TWK</t>
        </is>
      </c>
      <c r="C153" s="32" t="inlineStr">
        <is>
          <t>4 Piece Bamboo Sheet Set</t>
        </is>
      </c>
      <c r="D153" s="86" t="inlineStr">
        <is>
          <t>Poor</t>
        </is>
      </c>
      <c r="E153" s="87" t="inlineStr">
        <is>
          <t>B0GW7H7RHY</t>
        </is>
      </c>
      <c r="F153" s="87" t="inlineStr">
        <is>
          <t>B0GW7H7RHY</t>
        </is>
      </c>
      <c r="G153" s="86" t="inlineStr">
        <is>
          <t>King</t>
        </is>
      </c>
      <c r="H153" s="86" t="inlineStr">
        <is>
          <t>Sand</t>
        </is>
      </c>
      <c r="I153" s="88" t="n"/>
      <c r="J153" s="32" t="inlineStr"/>
      <c r="K153" s="89" t="n">
        <v>109.99</v>
      </c>
      <c r="L153" s="89" t="n"/>
      <c r="M153" s="90">
        <f>IF(AND(ISNUMBER(L153),ISNUMBER(K153),N(K153)&gt;0),L153/K153-1,"")</f>
        <v/>
      </c>
      <c r="N153" s="91">
        <f>IF(M153="","No List Price",IF(M153&lt;=0,"At/below price",IF(M153&lt;=0.12,"&lt;=12% STR zone",IF(M153&lt;=0.25,"12-25%","&gt;25% over"))))</f>
        <v/>
      </c>
      <c r="O153" s="89" t="n">
        <v>69.98999999999999</v>
      </c>
      <c r="P153" s="92">
        <f>IF(AND(ISNUMBER(K153),ISNUMBER(O153),N(O153)&gt;0),K153/O153-1,"")</f>
        <v/>
      </c>
      <c r="Q153" s="32" t="inlineStr">
        <is>
          <t>Same size (King). Ours live: Helium 10 Xray, 2026-10-13; 5 children</t>
        </is>
      </c>
      <c r="R153" s="88" t="n">
        <v>4355899</v>
      </c>
      <c r="S153" s="88" t="n">
        <v>5</v>
      </c>
      <c r="T153" s="93">
        <f>IF(AND(ISNUMBER(K153),ISNUMBER(S153)),K153*S153*52/12,"")</f>
        <v/>
      </c>
      <c r="U153" s="94" t="n">
        <v>4.5</v>
      </c>
      <c r="V153" s="88" t="n">
        <v>2</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23:37:03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10">
        <f>_xlfn.IMAGE("https://m.media-amazon.com/images/I/619JGLN3FDL._AC_SL1080_.jpg")</f>
        <v/>
      </c>
      <c r="B154" s="86" t="inlineStr">
        <is>
          <t>Vesta</t>
        </is>
      </c>
      <c r="C154" s="32" t="inlineStr">
        <is>
          <t>Vesta Sheet Set – Soft, Breathable &amp; Cooling, 100% Viscose Derived from Bamboo,</t>
        </is>
      </c>
      <c r="D154" s="86" t="inlineStr">
        <is>
          <t>Poor</t>
        </is>
      </c>
      <c r="E154" s="87" t="inlineStr">
        <is>
          <t>B0CZRJY68B</t>
        </is>
      </c>
      <c r="F154" s="87" t="inlineStr">
        <is>
          <t>B0DM214YG3</t>
        </is>
      </c>
      <c r="G154" s="86" t="inlineStr">
        <is>
          <t>King/Cali King</t>
        </is>
      </c>
      <c r="H154" s="86" t="inlineStr">
        <is>
          <t>Terra Cotta</t>
        </is>
      </c>
      <c r="I154" s="88" t="n"/>
      <c r="J154" s="32" t="inlineStr"/>
      <c r="K154" s="89" t="n">
        <v>174.3</v>
      </c>
      <c r="L154" s="89" t="n"/>
      <c r="M154" s="90">
        <f>IF(AND(ISNUMBER(L154),ISNUMBER(K154),N(K154)&gt;0),L154/K154-1,"")</f>
        <v/>
      </c>
      <c r="N154" s="91">
        <f>IF(M154="","No List Price",IF(M154&lt;=0,"At/below price",IF(M154&lt;=0.12,"&lt;=12% STR zone",IF(M154&lt;=0.25,"12-25%","&gt;25% over"))))</f>
        <v/>
      </c>
      <c r="O154" s="89" t="n">
        <v>67.06792207792205</v>
      </c>
      <c r="P154" s="92">
        <f>IF(AND(ISNUMBER(K154),ISNUMBER(O154),N(O154)&gt;0),K154/O154-1,"")</f>
        <v/>
      </c>
      <c r="Q154" s="32" t="inlineStr">
        <is>
          <t>vs our blended price (Command Center, Mar 2026 - STALE)</t>
        </is>
      </c>
      <c r="R154" s="88" t="n">
        <v>591414</v>
      </c>
      <c r="S154" s="88" t="n">
        <v>5</v>
      </c>
      <c r="T154" s="93">
        <f>IF(AND(ISNUMBER(K154),ISNUMBER(S154)),K154*S154*52/12,"")</f>
        <v/>
      </c>
      <c r="U154" s="94" t="n">
        <v>4.3</v>
      </c>
      <c r="V154" s="88" t="n">
        <v>35</v>
      </c>
      <c r="W154" s="95" t="n">
        <v>46307</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174.3</v>
      </c>
      <c r="AV154" s="98" t="inlineStr">
        <is>
          <t>none</t>
        </is>
      </c>
      <c r="AW154" s="98" t="inlineStr">
        <is>
          <t>Y</t>
        </is>
      </c>
      <c r="AX154" s="98" t="inlineStr">
        <is>
          <t>2026-10-13 23:37:06</t>
        </is>
      </c>
      <c r="AY154" s="100" t="inlineStr">
        <is>
          <t>None</t>
        </is>
      </c>
      <c r="AZ154" s="105" t="n"/>
      <c r="BA154" s="101" t="n">
        <v>174.3</v>
      </c>
      <c r="BB154" s="101" t="n">
        <v>174.3</v>
      </c>
      <c r="BC154" s="90">
        <f>IF(AND(ISNUMBER(BA154),ISNUMBER(BB154),N(BA154)&gt;0),1-BB154/BA154,"")</f>
        <v/>
      </c>
      <c r="BD154" s="102" t="n">
        <v>1047082</v>
      </c>
      <c r="BE154" s="102" t="n">
        <v>909398</v>
      </c>
      <c r="BF154" s="103">
        <f>IF(AND(ISNUMBER(BD154),ISNUMBER(BE154),N(BE154)&gt;0),BD154/BE154,"")</f>
        <v/>
      </c>
      <c r="BG154" s="100" t="inlineStr">
        <is>
          <t>N</t>
        </is>
      </c>
      <c r="BH154" s="100" t="inlineStr">
        <is>
          <t>List Price $174.30</t>
        </is>
      </c>
    </row>
    <row r="156" ht="20" customHeight="1">
      <c r="A156" s="53" t="inlineStr">
        <is>
          <t>5 · WHAT THIS MEANS FOR BFCM</t>
        </is>
      </c>
    </row>
    <row r="157" ht="30" customHeight="1">
      <c r="A157" s="107" t="inlineStr">
        <is>
          <t>•  Who sells most: Pure Bamboo ~809/wk at $109.99; Hotel Sheets Direct ~347/wk at $79.99; KRIMANO ~185/wk at $79.99; Bambaw ~104/wk at $89.99; Bedsure ~104/wk at $89.99 (List $119.99, +33%). Tracked rivals ~2,409 units/wk; we sell ~23/wk (0.9% of the tracked set).</t>
        </is>
      </c>
    </row>
    <row r="158" ht="18" customHeight="1">
      <c r="A158" s="107" t="inlineStr">
        <is>
          <t>•  Strikethrough: 7 of 30 rivals set a List Price above price; 1 within 12%: AiAngu +7%.</t>
        </is>
      </c>
    </row>
    <row r="159" ht="30" customHeight="1">
      <c r="A159" s="107" t="inlineStr">
        <is>
          <t>•  Price: 9 of 30 rivals sit below our price today (same size where the title states one). Cheapest strong rivals: BAMPURE $37.99, DOZ by SIJO $55.00, SONORO KATE $59.99, BAMPURE $67.98.</t>
        </is>
      </c>
    </row>
    <row r="160" ht="30" customHeight="1">
      <c r="A160"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1" ht="30" customHeight="1">
      <c r="A161"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2" ht="30" customHeight="1">
      <c r="A162" s="107" t="inlineStr">
        <is>
          <t>•  Brand ads: Pure Bamboo (SB 82%, SBV 88%), Bedsure (SB 98%, SBV 53%), BC BELLA COTERIE (SB 57%, SBV 56%) hold Sponsored Brands / video on most of their traffic - the plan has our SB, SBV and display live by Nov 1.</t>
        </is>
      </c>
    </row>
    <row r="163" ht="18" customHeight="1">
      <c r="A163" s="107" t="inlineStr">
        <is>
          <t>•  Our BFCM 2025: 1.20x daily sales in BFCM week vs the 30 days before; TACoS 18.7% vs 35.5% before; December 2.27x.</t>
        </is>
      </c>
    </row>
    <row r="164" ht="18" customHeight="1">
      <c r="A164" s="107" t="inlineStr">
        <is>
          <t>•  Prime Day 2026: our organic visibility 0.20x vs rivals' median 1.31x (n=9) - rivals gained more event visibility than we did.</t>
        </is>
      </c>
    </row>
    <row r="165" ht="30" customHeight="1">
      <c r="A165"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4:BH154"/>
  <mergeCells count="76">
    <mergeCell ref="A15:BH15"/>
    <mergeCell ref="A108:C108"/>
    <mergeCell ref="A157:BH157"/>
    <mergeCell ref="AY123:BH123"/>
    <mergeCell ref="L5:Q5"/>
    <mergeCell ref="AR123:AX123"/>
    <mergeCell ref="A1:BH1"/>
    <mergeCell ref="Q11:T11"/>
    <mergeCell ref="L8:Q8"/>
    <mergeCell ref="A105:C105"/>
    <mergeCell ref="A119:BH119"/>
    <mergeCell ref="A123:H123"/>
    <mergeCell ref="L4:Q4"/>
    <mergeCell ref="D7:I7"/>
    <mergeCell ref="A13:D13"/>
    <mergeCell ref="A104:C104"/>
    <mergeCell ref="A162:BH162"/>
    <mergeCell ref="I13:L13"/>
    <mergeCell ref="A16:BH16"/>
    <mergeCell ref="X123:Z123"/>
    <mergeCell ref="D4:I4"/>
    <mergeCell ref="L10:Q10"/>
    <mergeCell ref="E12:H12"/>
    <mergeCell ref="Q13:T13"/>
    <mergeCell ref="D9:I9"/>
    <mergeCell ref="A118:BH118"/>
    <mergeCell ref="A164:BH164"/>
    <mergeCell ref="U12:X12"/>
    <mergeCell ref="L9:Q9"/>
    <mergeCell ref="Q12:T12"/>
    <mergeCell ref="A158:BH158"/>
    <mergeCell ref="A11:D11"/>
    <mergeCell ref="A109:C109"/>
    <mergeCell ref="I11:L11"/>
    <mergeCell ref="A163:BH163"/>
    <mergeCell ref="A3:BH3"/>
    <mergeCell ref="L6:Q6"/>
    <mergeCell ref="D8:I8"/>
    <mergeCell ref="A4:B9"/>
    <mergeCell ref="A101:BH101"/>
    <mergeCell ref="T6:Y6"/>
    <mergeCell ref="AA123:AQ123"/>
    <mergeCell ref="A113:BH113"/>
    <mergeCell ref="A102:C102"/>
    <mergeCell ref="K123:W123"/>
    <mergeCell ref="A160:BH160"/>
    <mergeCell ref="D5:I5"/>
    <mergeCell ref="A165:BH165"/>
    <mergeCell ref="A116:BH116"/>
    <mergeCell ref="M11:P11"/>
    <mergeCell ref="U11:X11"/>
    <mergeCell ref="A159:BH159"/>
    <mergeCell ref="A122:BH122"/>
    <mergeCell ref="E13:H13"/>
    <mergeCell ref="D10:I10"/>
    <mergeCell ref="L7:Q7"/>
    <mergeCell ref="T5:Y5"/>
    <mergeCell ref="A107:C107"/>
    <mergeCell ref="A156:BH156"/>
    <mergeCell ref="A103:C103"/>
    <mergeCell ref="A121:BH121"/>
    <mergeCell ref="A12:D12"/>
    <mergeCell ref="M13:P13"/>
    <mergeCell ref="A110:C110"/>
    <mergeCell ref="A112:BH112"/>
    <mergeCell ref="I12:L12"/>
    <mergeCell ref="U13:X13"/>
    <mergeCell ref="A115:BH115"/>
    <mergeCell ref="A117:BH117"/>
    <mergeCell ref="A161:BH161"/>
    <mergeCell ref="M12:P12"/>
    <mergeCell ref="A111:BH111"/>
    <mergeCell ref="T4:Y4"/>
    <mergeCell ref="D6:I6"/>
    <mergeCell ref="E11:H11"/>
    <mergeCell ref="A114:BH114"/>
  </mergeCells>
  <conditionalFormatting sqref="N125:N154">
    <cfRule type="expression" priority="1" dxfId="1">
      <formula>N125="&lt;=12% STR zone"</formula>
    </cfRule>
  </conditionalFormatting>
  <conditionalFormatting sqref="W125:W154">
    <cfRule type="expression" priority="2" dxfId="0">
      <formula>AND(ISNUMBER(W125),W125&lt;DATE(2026,10,6))</formula>
    </cfRule>
  </conditionalFormatting>
  <conditionalFormatting sqref="Q125:Q154">
    <cfRule type="expression" priority="3" dxfId="0">
      <formula>ISNUMBER(SEARCH("STALE",Q125))</formula>
    </cfRule>
  </conditionalFormatting>
  <conditionalFormatting sqref="P125:P154">
    <cfRule type="expression" priority="4" dxfId="0">
      <formula>AND(ISNUMBER(P125),P125&lt;0)</formula>
    </cfRule>
  </conditionalFormatting>
  <dataValidations count="3">
    <dataValidation sqref="AR125:AR154 BG125:BG154" showDropDown="0" showInputMessage="0" showErrorMessage="0" allowBlank="1" type="list">
      <formula1>"Y,N"</formula1>
    </dataValidation>
    <dataValidation sqref="AS125:AS154" showDropDown="0" showInputMessage="0" showErrorMessage="0" allowBlank="1" type="list">
      <formula1>"List Price,Typical price,Was price,None"</formula1>
    </dataValidation>
    <dataValidation sqref="AY125:AY1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E152" r:id="rId56"/>
    <hyperlink xmlns:r="http://schemas.openxmlformats.org/officeDocument/2006/relationships" ref="F152" r:id="rId57"/>
    <hyperlink xmlns:r="http://schemas.openxmlformats.org/officeDocument/2006/relationships" ref="E153" r:id="rId58"/>
    <hyperlink xmlns:r="http://schemas.openxmlformats.org/officeDocument/2006/relationships" ref="F153" r:id="rId59"/>
    <hyperlink xmlns:r="http://schemas.openxmlformats.org/officeDocument/2006/relationships" ref="E154" r:id="rId60"/>
    <hyperlink xmlns:r="http://schemas.openxmlformats.org/officeDocument/2006/relationships" ref="F154"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Bamboo Sheets 4 Piece  ·  Amazon.com (US)  ·  Bamboo  ·  BFCM role: Not launched yet  ·  Scope: Not launched</t>
        </is>
      </c>
    </row>
    <row r="2">
      <c r="A2" s="52" t="inlineStr">
        <is>
          <t>← Dashboard</t>
        </is>
      </c>
      <c r="C2" s="109" t="inlineStr">
        <is>
          <t>NOT LAUNCHED YET (confirmed Oct 14, 2026): no live price, rating or sales expected; excluded from the gap counts on Data Check.</t>
        </is>
      </c>
    </row>
    <row r="3" ht="20" customHeight="1">
      <c r="A3" s="53"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4" t="inlineStr">
        <is>
          <t>California King, Full, King, Queen, Twin</t>
        </is>
      </c>
      <c r="S4" s="11" t="inlineStr">
        <is>
          <t>Break-even ACoS</t>
        </is>
      </c>
      <c r="T4" s="54" t="inlineStr">
        <is>
          <t>29%</t>
        </is>
      </c>
    </row>
    <row r="5" ht="22" customHeight="1">
      <c r="C5" s="11" t="inlineStr">
        <is>
          <t>Brand</t>
        </is>
      </c>
      <c r="D5" s="54" t="inlineStr">
        <is>
          <t>Sleephoria</t>
        </is>
      </c>
      <c r="K5" s="11" t="inlineStr">
        <is>
          <t>Colours</t>
        </is>
      </c>
      <c r="L5" s="54" t="inlineStr">
        <is>
          <t>Black, Burgundy, Charcoal, Creme, Grey, Light Blue, Light Grey, Light Olive, Light Pink, Midgrey, Navy Blue, Olive, Purple, Sage Green, Taupe, White</t>
        </is>
      </c>
      <c r="S5" s="11" t="inlineStr">
        <is>
          <t>Units last 28 days</t>
        </is>
      </c>
      <c r="T5" s="54" t="inlineStr">
        <is>
          <t>2</t>
        </is>
      </c>
    </row>
    <row r="6" ht="22" customHeight="1">
      <c r="C6" s="11" t="inlineStr">
        <is>
          <t>Marketplace</t>
        </is>
      </c>
      <c r="D6" s="54" t="inlineStr">
        <is>
          <t>Amazon.com (US)</t>
        </is>
      </c>
      <c r="K6" s="11" t="inlineStr">
        <is>
          <t>Price now, best child</t>
        </is>
      </c>
      <c r="L6" s="54" t="inlineStr">
        <is>
          <t>$61.99 (Helium 10 Xray, 2026-10-13)</t>
        </is>
      </c>
      <c r="S6" s="11" t="inlineStr">
        <is>
          <t>Command Center product ASIN</t>
        </is>
      </c>
      <c r="T6" s="54" t="inlineStr">
        <is>
          <t>B0DDTRVWNR (one of our child ASINs, not the Amazon parent)</t>
        </is>
      </c>
    </row>
    <row r="7" ht="22" customHeight="1">
      <c r="C7" s="11" t="inlineStr">
        <is>
          <t>Parent ASIN (Amazon)</t>
        </is>
      </c>
      <c r="D7" s="54" t="inlineStr">
        <is>
          <t>B0F54RNQPT</t>
        </is>
      </c>
      <c r="K7" s="11" t="inlineStr">
        <is>
          <t>Rating / reviews now</t>
        </is>
      </c>
      <c r="L7" s="54" t="inlineStr">
        <is>
          <t>4.5 / 320 (Helium 10 Xray, 2026-10-13)</t>
        </is>
      </c>
    </row>
    <row r="8" ht="22" customHeight="1">
      <c r="C8" s="11" t="inlineStr">
        <is>
          <t>Best-selling child ASIN</t>
        </is>
      </c>
      <c r="D8" s="54" t="inlineStr">
        <is>
          <t>B0DDTY5RQX</t>
        </is>
      </c>
      <c r="K8" s="11" t="inlineStr">
        <is>
          <t>Live prices held</t>
        </is>
      </c>
      <c r="L8" s="54" t="inlineStr">
        <is>
          <t>4 of 84 variations</t>
        </is>
      </c>
    </row>
    <row r="9" ht="22" customHeight="1">
      <c r="C9" s="11" t="inlineStr">
        <is>
          <t>Stage</t>
        </is>
      </c>
      <c r="D9" s="54" t="inlineStr">
        <is>
          <t>Production</t>
        </is>
      </c>
      <c r="K9" s="11" t="inlineStr">
        <is>
          <t>Blended price (Command Center)</t>
        </is>
      </c>
      <c r="L9" s="54" t="inlineStr">
        <is>
          <t>$54.99 - fee feed as of 2026-03-30, STALE</t>
        </is>
      </c>
    </row>
    <row r="10">
      <c r="C10" s="11" t="inlineStr">
        <is>
          <t>Total variations (SKUs)</t>
        </is>
      </c>
      <c r="D10" s="54" t="n">
        <v>84</v>
      </c>
      <c r="K10" s="11" t="inlineStr">
        <is>
          <t>Contribution / unit</t>
        </is>
      </c>
      <c r="L10" s="54" t="inlineStr">
        <is>
          <t>$15.91</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28</t>
        </is>
      </c>
      <c r="Q12" s="56" t="inlineStr">
        <is>
          <t>4</t>
        </is>
      </c>
      <c r="U12" s="56" t="inlineStr">
        <is>
          <t>1</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(84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59" t="n">
        <v>61.99</v>
      </c>
      <c r="H18" s="32" t="inlineStr">
        <is>
          <t>Helium 10 Xray, 2026-10-13</t>
        </is>
      </c>
      <c r="I18" s="60" t="n">
        <v>54.99</v>
      </c>
      <c r="J18" s="61" t="inlineStr">
        <is>
          <t>2026-03-30</t>
        </is>
      </c>
      <c r="K18" s="33" t="n">
        <v>15.91</v>
      </c>
      <c r="L18" s="62" t="n">
        <v>0.2893253318785234</v>
      </c>
      <c r="M18" s="63" t="n">
        <v>2</v>
      </c>
      <c r="N18" s="32" t="inlineStr">
        <is>
          <t>Active</t>
        </is>
      </c>
      <c r="O18" s="32" t="n"/>
      <c r="P18" s="64" t="n">
        <v>4.5</v>
      </c>
      <c r="Q18" s="63" t="n">
        <v>320</v>
      </c>
      <c r="R18" s="63" t="n">
        <v>252421</v>
      </c>
      <c r="S18" s="63"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2" t="n"/>
      <c r="M19" s="63" t="n"/>
      <c r="N19" s="32" t="inlineStr">
        <is>
          <t>Inactive</t>
        </is>
      </c>
      <c r="O19" s="32" t="n"/>
      <c r="P19" s="64" t="n"/>
      <c r="Q19" s="63" t="n"/>
      <c r="R19" s="63" t="n"/>
      <c r="S19" s="63"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2" t="n"/>
      <c r="M20" s="63" t="n"/>
      <c r="N20" s="32" t="inlineStr">
        <is>
          <t>Inactive</t>
        </is>
      </c>
      <c r="O20" s="32" t="n"/>
      <c r="P20" s="64" t="n"/>
      <c r="Q20" s="63" t="n"/>
      <c r="R20" s="63" t="n"/>
      <c r="S20" s="63"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2" t="n"/>
      <c r="M21" s="63" t="n"/>
      <c r="N21" s="32" t="inlineStr">
        <is>
          <t>Inactive</t>
        </is>
      </c>
      <c r="O21" s="32" t="n"/>
      <c r="P21" s="64" t="n"/>
      <c r="Q21" s="63" t="n"/>
      <c r="R21" s="63" t="n"/>
      <c r="S21" s="63"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2" t="n"/>
      <c r="M22" s="63" t="n"/>
      <c r="N22" s="32" t="inlineStr">
        <is>
          <t>Inactive</t>
        </is>
      </c>
      <c r="O22" s="32" t="n"/>
      <c r="P22" s="64" t="n"/>
      <c r="Q22" s="63" t="n"/>
      <c r="R22" s="63" t="n"/>
      <c r="S22" s="63"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2" t="n"/>
      <c r="M23" s="63" t="n"/>
      <c r="N23" s="32" t="inlineStr">
        <is>
          <t>Inactive</t>
        </is>
      </c>
      <c r="O23" s="32" t="n"/>
      <c r="P23" s="64" t="n"/>
      <c r="Q23" s="63" t="n"/>
      <c r="R23" s="63" t="n"/>
      <c r="S23" s="63"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2" t="n"/>
      <c r="M24" s="63" t="n"/>
      <c r="N24" s="32" t="inlineStr">
        <is>
          <t>Inactive</t>
        </is>
      </c>
      <c r="O24" s="32" t="n"/>
      <c r="P24" s="64" t="n"/>
      <c r="Q24" s="63" t="n"/>
      <c r="R24" s="63" t="n"/>
      <c r="S24" s="63"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2" t="n"/>
      <c r="M25" s="63" t="n"/>
      <c r="N25" s="32" t="inlineStr">
        <is>
          <t>Inactive</t>
        </is>
      </c>
      <c r="O25" s="32" t="n"/>
      <c r="P25" s="64" t="n"/>
      <c r="Q25" s="63" t="n"/>
      <c r="R25" s="63" t="n"/>
      <c r="S25" s="63"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2" t="n"/>
      <c r="M26" s="63" t="n"/>
      <c r="N26" s="32" t="inlineStr">
        <is>
          <t>Inactive</t>
        </is>
      </c>
      <c r="O26" s="32" t="n"/>
      <c r="P26" s="64" t="n"/>
      <c r="Q26" s="63" t="n"/>
      <c r="R26" s="63" t="n"/>
      <c r="S26" s="63"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2" t="n"/>
      <c r="M27" s="63" t="n"/>
      <c r="N27" s="32" t="inlineStr">
        <is>
          <t>Inactive</t>
        </is>
      </c>
      <c r="O27" s="32" t="n"/>
      <c r="P27" s="64" t="n"/>
      <c r="Q27" s="63" t="n"/>
      <c r="R27" s="63" t="n"/>
      <c r="S27" s="63"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2" t="n"/>
      <c r="M28" s="63" t="n"/>
      <c r="N28" s="32" t="inlineStr">
        <is>
          <t>Inactive</t>
        </is>
      </c>
      <c r="O28" s="32" t="n"/>
      <c r="P28" s="64" t="n"/>
      <c r="Q28" s="63" t="n"/>
      <c r="R28" s="63" t="n"/>
      <c r="S28" s="63"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2" t="n"/>
      <c r="M29" s="63" t="n"/>
      <c r="N29" s="32" t="inlineStr">
        <is>
          <t>Inactive</t>
        </is>
      </c>
      <c r="O29" s="32" t="n"/>
      <c r="P29" s="64" t="n"/>
      <c r="Q29" s="63" t="n"/>
      <c r="R29" s="63" t="n"/>
      <c r="S29" s="63"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2" t="n"/>
      <c r="M30" s="63" t="n"/>
      <c r="N30" s="32" t="inlineStr">
        <is>
          <t>Inactive</t>
        </is>
      </c>
      <c r="O30" s="32" t="n"/>
      <c r="P30" s="64" t="n"/>
      <c r="Q30" s="63" t="n"/>
      <c r="R30" s="63" t="n"/>
      <c r="S30" s="63"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2" t="n"/>
      <c r="M31" s="63" t="n"/>
      <c r="N31" s="32" t="inlineStr">
        <is>
          <t>Inactive</t>
        </is>
      </c>
      <c r="O31" s="32" t="n"/>
      <c r="P31" s="64" t="n"/>
      <c r="Q31" s="63" t="n"/>
      <c r="R31" s="63" t="n"/>
      <c r="S31" s="63"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2" t="n"/>
      <c r="M32" s="63" t="n"/>
      <c r="N32" s="32" t="inlineStr">
        <is>
          <t>Inactive</t>
        </is>
      </c>
      <c r="O32" s="32" t="n"/>
      <c r="P32" s="64" t="n"/>
      <c r="Q32" s="63" t="n"/>
      <c r="R32" s="63" t="n"/>
      <c r="S32" s="63"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2" t="n"/>
      <c r="M33" s="63" t="n"/>
      <c r="N33" s="32" t="inlineStr">
        <is>
          <t>Inactive</t>
        </is>
      </c>
      <c r="O33" s="32" t="n"/>
      <c r="P33" s="64" t="n"/>
      <c r="Q33" s="63" t="n"/>
      <c r="R33" s="63" t="n"/>
      <c r="S33" s="63"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2" t="n"/>
      <c r="M34" s="63" t="n"/>
      <c r="N34" s="32" t="inlineStr">
        <is>
          <t>Inactive</t>
        </is>
      </c>
      <c r="O34" s="32" t="n"/>
      <c r="P34" s="64" t="n"/>
      <c r="Q34" s="63" t="n"/>
      <c r="R34" s="63" t="n"/>
      <c r="S34" s="63"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2" t="n"/>
      <c r="M35" s="63" t="n"/>
      <c r="N35" s="32" t="inlineStr">
        <is>
          <t>Inactive</t>
        </is>
      </c>
      <c r="O35" s="32" t="n"/>
      <c r="P35" s="64" t="n"/>
      <c r="Q35" s="63" t="n"/>
      <c r="R35" s="63" t="n"/>
      <c r="S35" s="63"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2" t="n"/>
      <c r="M36" s="63" t="n"/>
      <c r="N36" s="32" t="inlineStr">
        <is>
          <t>Inactive</t>
        </is>
      </c>
      <c r="O36" s="32" t="n"/>
      <c r="P36" s="64" t="n"/>
      <c r="Q36" s="63" t="n"/>
      <c r="R36" s="63" t="n"/>
      <c r="S36" s="63"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2" t="n"/>
      <c r="M37" s="63" t="n"/>
      <c r="N37" s="32" t="inlineStr">
        <is>
          <t>Inactive</t>
        </is>
      </c>
      <c r="O37" s="32" t="n"/>
      <c r="P37" s="64" t="n"/>
      <c r="Q37" s="63" t="n"/>
      <c r="R37" s="63" t="n"/>
      <c r="S37" s="63"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2" t="n"/>
      <c r="M38" s="63" t="n"/>
      <c r="N38" s="32" t="inlineStr">
        <is>
          <t>Inactive</t>
        </is>
      </c>
      <c r="O38" s="32" t="n"/>
      <c r="P38" s="64" t="n"/>
      <c r="Q38" s="63" t="n"/>
      <c r="R38" s="63" t="n"/>
      <c r="S38" s="63"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2" t="n"/>
      <c r="M39" s="63" t="n"/>
      <c r="N39" s="32" t="inlineStr">
        <is>
          <t>Inactive</t>
        </is>
      </c>
      <c r="O39" s="32" t="n"/>
      <c r="P39" s="64" t="n"/>
      <c r="Q39" s="63" t="n"/>
      <c r="R39" s="63" t="n"/>
      <c r="S39" s="63"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2" t="n"/>
      <c r="M40" s="63" t="n"/>
      <c r="N40" s="32" t="inlineStr">
        <is>
          <t>Inactive</t>
        </is>
      </c>
      <c r="O40" s="32" t="n"/>
      <c r="P40" s="64" t="n"/>
      <c r="Q40" s="63" t="n"/>
      <c r="R40" s="63" t="n"/>
      <c r="S40" s="63"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2" t="n"/>
      <c r="M41" s="63" t="n"/>
      <c r="N41" s="32" t="inlineStr">
        <is>
          <t>Inactive</t>
        </is>
      </c>
      <c r="O41" s="32" t="n"/>
      <c r="P41" s="64" t="n"/>
      <c r="Q41" s="63" t="n"/>
      <c r="R41" s="63" t="n"/>
      <c r="S41" s="63"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2" t="n"/>
      <c r="M42" s="63" t="n"/>
      <c r="N42" s="32" t="inlineStr">
        <is>
          <t>Inactive</t>
        </is>
      </c>
      <c r="O42" s="32" t="n"/>
      <c r="P42" s="64" t="n"/>
      <c r="Q42" s="63" t="n"/>
      <c r="R42" s="63" t="n"/>
      <c r="S42" s="63"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2" t="n"/>
      <c r="M43" s="63" t="n"/>
      <c r="N43" s="32" t="inlineStr">
        <is>
          <t>Inactive</t>
        </is>
      </c>
      <c r="O43" s="32" t="n"/>
      <c r="P43" s="64" t="n"/>
      <c r="Q43" s="63" t="n"/>
      <c r="R43" s="63" t="n"/>
      <c r="S43" s="63"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2" t="n"/>
      <c r="M44" s="63" t="n"/>
      <c r="N44" s="32" t="inlineStr">
        <is>
          <t>Inactive</t>
        </is>
      </c>
      <c r="O44" s="32" t="n"/>
      <c r="P44" s="64" t="n"/>
      <c r="Q44" s="63" t="n"/>
      <c r="R44" s="63" t="n"/>
      <c r="S44" s="63"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2" t="n"/>
      <c r="M45" s="63" t="n"/>
      <c r="N45" s="32" t="inlineStr">
        <is>
          <t>Inactive</t>
        </is>
      </c>
      <c r="O45" s="32" t="n"/>
      <c r="P45" s="64" t="n"/>
      <c r="Q45" s="63" t="n"/>
      <c r="R45" s="63" t="n"/>
      <c r="S45" s="63"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2" t="n"/>
      <c r="M46" s="63" t="n"/>
      <c r="N46" s="32" t="inlineStr">
        <is>
          <t>Inactive</t>
        </is>
      </c>
      <c r="O46" s="32" t="n"/>
      <c r="P46" s="64" t="n"/>
      <c r="Q46" s="63" t="n"/>
      <c r="R46" s="63" t="n"/>
      <c r="S46" s="63"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2" t="n"/>
      <c r="M47" s="63" t="n"/>
      <c r="N47" s="32" t="inlineStr">
        <is>
          <t>Inactive</t>
        </is>
      </c>
      <c r="O47" s="32" t="n"/>
      <c r="P47" s="64" t="n"/>
      <c r="Q47" s="63" t="n"/>
      <c r="R47" s="63" t="n"/>
      <c r="S47" s="63"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2" t="n"/>
      <c r="M48" s="63" t="n"/>
      <c r="N48" s="32" t="inlineStr">
        <is>
          <t>Inactive</t>
        </is>
      </c>
      <c r="O48" s="32" t="n"/>
      <c r="P48" s="64" t="n"/>
      <c r="Q48" s="63" t="n"/>
      <c r="R48" s="63" t="n"/>
      <c r="S48" s="63"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2" t="n"/>
      <c r="M49" s="63" t="n"/>
      <c r="N49" s="32" t="inlineStr">
        <is>
          <t>Inactive</t>
        </is>
      </c>
      <c r="O49" s="32" t="n"/>
      <c r="P49" s="64" t="n"/>
      <c r="Q49" s="63" t="n"/>
      <c r="R49" s="63" t="n"/>
      <c r="S49" s="63"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2" t="n"/>
      <c r="M50" s="63" t="n"/>
      <c r="N50" s="32" t="inlineStr">
        <is>
          <t>Inactive</t>
        </is>
      </c>
      <c r="O50" s="32" t="n"/>
      <c r="P50" s="64" t="n"/>
      <c r="Q50" s="63" t="n"/>
      <c r="R50" s="63" t="n"/>
      <c r="S50" s="63"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2" t="n"/>
      <c r="M51" s="63" t="n"/>
      <c r="N51" s="32" t="inlineStr">
        <is>
          <t>Inactive</t>
        </is>
      </c>
      <c r="O51" s="32" t="n"/>
      <c r="P51" s="64" t="n"/>
      <c r="Q51" s="63" t="n"/>
      <c r="R51" s="63" t="n"/>
      <c r="S51" s="63"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2" t="n"/>
      <c r="M52" s="63" t="n"/>
      <c r="N52" s="32" t="inlineStr">
        <is>
          <t>Inactive</t>
        </is>
      </c>
      <c r="O52" s="32" t="n"/>
      <c r="P52" s="64" t="n"/>
      <c r="Q52" s="63" t="n"/>
      <c r="R52" s="63" t="n"/>
      <c r="S52" s="63"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2" t="n"/>
      <c r="M53" s="63" t="n"/>
      <c r="N53" s="32" t="inlineStr">
        <is>
          <t>Inactive</t>
        </is>
      </c>
      <c r="O53" s="32" t="n"/>
      <c r="P53" s="64" t="n"/>
      <c r="Q53" s="63" t="n"/>
      <c r="R53" s="63" t="n"/>
      <c r="S53" s="63"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2" t="n"/>
      <c r="M54" s="63" t="n"/>
      <c r="N54" s="32" t="inlineStr">
        <is>
          <t>Inactive</t>
        </is>
      </c>
      <c r="O54" s="32" t="n"/>
      <c r="P54" s="64" t="n"/>
      <c r="Q54" s="63" t="n"/>
      <c r="R54" s="63" t="n"/>
      <c r="S54" s="63"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2" t="n"/>
      <c r="M55" s="63" t="n"/>
      <c r="N55" s="32" t="inlineStr">
        <is>
          <t>Inactive</t>
        </is>
      </c>
      <c r="O55" s="32" t="n"/>
      <c r="P55" s="64" t="n"/>
      <c r="Q55" s="63" t="n"/>
      <c r="R55" s="63" t="n"/>
      <c r="S55" s="63"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2" t="n"/>
      <c r="M56" s="63" t="n"/>
      <c r="N56" s="32" t="inlineStr">
        <is>
          <t>Inactive</t>
        </is>
      </c>
      <c r="O56" s="32" t="n"/>
      <c r="P56" s="64" t="n"/>
      <c r="Q56" s="63" t="n"/>
      <c r="R56" s="63" t="n"/>
      <c r="S56" s="63"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2" t="n"/>
      <c r="M57" s="63" t="n"/>
      <c r="N57" s="32" t="inlineStr">
        <is>
          <t>Inactive</t>
        </is>
      </c>
      <c r="O57" s="32" t="n"/>
      <c r="P57" s="64" t="n"/>
      <c r="Q57" s="63" t="n"/>
      <c r="R57" s="63" t="n"/>
      <c r="S57" s="63"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2" t="n"/>
      <c r="M58" s="63" t="n"/>
      <c r="N58" s="32" t="inlineStr">
        <is>
          <t>Inactive</t>
        </is>
      </c>
      <c r="O58" s="32" t="n"/>
      <c r="P58" s="64" t="n"/>
      <c r="Q58" s="63" t="n"/>
      <c r="R58" s="63" t="n"/>
      <c r="S58" s="63"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2" t="n"/>
      <c r="M59" s="63" t="n"/>
      <c r="N59" s="32" t="inlineStr">
        <is>
          <t>Inactive</t>
        </is>
      </c>
      <c r="O59" s="32" t="n"/>
      <c r="P59" s="64" t="n"/>
      <c r="Q59" s="63" t="n"/>
      <c r="R59" s="63" t="n"/>
      <c r="S59" s="63"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2" t="n"/>
      <c r="M60" s="63" t="n"/>
      <c r="N60" s="32" t="inlineStr">
        <is>
          <t>Inactive</t>
        </is>
      </c>
      <c r="O60" s="32" t="n"/>
      <c r="P60" s="64" t="n"/>
      <c r="Q60" s="63" t="n"/>
      <c r="R60" s="63" t="n"/>
      <c r="S60" s="63"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2" t="n"/>
      <c r="M61" s="63" t="n"/>
      <c r="N61" s="32" t="inlineStr">
        <is>
          <t>Inactive</t>
        </is>
      </c>
      <c r="O61" s="32" t="n"/>
      <c r="P61" s="64" t="n"/>
      <c r="Q61" s="63" t="n"/>
      <c r="R61" s="63" t="n"/>
      <c r="S61" s="63"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2" t="n"/>
      <c r="M62" s="63" t="n"/>
      <c r="N62" s="32" t="inlineStr">
        <is>
          <t>Inactive</t>
        </is>
      </c>
      <c r="O62" s="32" t="n"/>
      <c r="P62" s="64" t="n"/>
      <c r="Q62" s="63" t="n"/>
      <c r="R62" s="63" t="n"/>
      <c r="S62" s="63"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2" t="n"/>
      <c r="M63" s="63" t="n"/>
      <c r="N63" s="32" t="inlineStr">
        <is>
          <t>Inactive</t>
        </is>
      </c>
      <c r="O63" s="32" t="n"/>
      <c r="P63" s="64" t="n"/>
      <c r="Q63" s="63" t="n"/>
      <c r="R63" s="63" t="n"/>
      <c r="S63" s="63"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2" t="n"/>
      <c r="M64" s="63" t="n"/>
      <c r="N64" s="32" t="inlineStr">
        <is>
          <t>Inactive</t>
        </is>
      </c>
      <c r="O64" s="32" t="n"/>
      <c r="P64" s="64" t="n"/>
      <c r="Q64" s="63" t="n"/>
      <c r="R64" s="63" t="n"/>
      <c r="S64" s="63"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2" t="n"/>
      <c r="M65" s="63" t="n"/>
      <c r="N65" s="32" t="inlineStr">
        <is>
          <t>Inactive</t>
        </is>
      </c>
      <c r="O65" s="32" t="n"/>
      <c r="P65" s="64" t="n"/>
      <c r="Q65" s="63" t="n"/>
      <c r="R65" s="63" t="n"/>
      <c r="S65" s="63"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2" t="n"/>
      <c r="M66" s="63" t="n"/>
      <c r="N66" s="32" t="inlineStr">
        <is>
          <t>Inactive</t>
        </is>
      </c>
      <c r="O66" s="32" t="n"/>
      <c r="P66" s="64" t="n"/>
      <c r="Q66" s="63" t="n"/>
      <c r="R66" s="63" t="n"/>
      <c r="S66" s="63"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2" t="n"/>
      <c r="M67" s="63" t="n"/>
      <c r="N67" s="32" t="inlineStr">
        <is>
          <t>Inactive</t>
        </is>
      </c>
      <c r="O67" s="32" t="n"/>
      <c r="P67" s="64" t="n"/>
      <c r="Q67" s="63" t="n"/>
      <c r="R67" s="63" t="n"/>
      <c r="S67" s="63"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2" t="n"/>
      <c r="M68" s="63" t="n"/>
      <c r="N68" s="32" t="inlineStr">
        <is>
          <t>Inactive</t>
        </is>
      </c>
      <c r="O68" s="32" t="n"/>
      <c r="P68" s="64" t="n"/>
      <c r="Q68" s="63" t="n"/>
      <c r="R68" s="63" t="n"/>
      <c r="S68" s="63"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2" t="n"/>
      <c r="M69" s="63" t="n"/>
      <c r="N69" s="32" t="inlineStr">
        <is>
          <t>Inactive</t>
        </is>
      </c>
      <c r="O69" s="32" t="n"/>
      <c r="P69" s="64" t="n"/>
      <c r="Q69" s="63" t="n"/>
      <c r="R69" s="63" t="n"/>
      <c r="S69" s="63"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2" t="n"/>
      <c r="M70" s="63" t="n"/>
      <c r="N70" s="32" t="inlineStr">
        <is>
          <t>Inactive</t>
        </is>
      </c>
      <c r="O70" s="32" t="n"/>
      <c r="P70" s="64" t="n"/>
      <c r="Q70" s="63" t="n"/>
      <c r="R70" s="63" t="n"/>
      <c r="S70" s="63"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2" t="n"/>
      <c r="M71" s="63" t="n"/>
      <c r="N71" s="32" t="inlineStr">
        <is>
          <t>Inactive</t>
        </is>
      </c>
      <c r="O71" s="32" t="n"/>
      <c r="P71" s="64" t="n"/>
      <c r="Q71" s="63" t="n"/>
      <c r="R71" s="63" t="n"/>
      <c r="S71" s="63"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2" t="n"/>
      <c r="M72" s="63" t="n"/>
      <c r="N72" s="32" t="inlineStr">
        <is>
          <t>Inactive</t>
        </is>
      </c>
      <c r="O72" s="32" t="n"/>
      <c r="P72" s="64" t="n"/>
      <c r="Q72" s="63" t="n"/>
      <c r="R72" s="63" t="n"/>
      <c r="S72" s="63"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2" t="n"/>
      <c r="M73" s="63" t="n"/>
      <c r="N73" s="32" t="inlineStr">
        <is>
          <t>Inactive</t>
        </is>
      </c>
      <c r="O73" s="32" t="n"/>
      <c r="P73" s="64" t="n"/>
      <c r="Q73" s="63" t="n"/>
      <c r="R73" s="63" t="n"/>
      <c r="S73" s="63"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2" t="n"/>
      <c r="M74" s="63" t="n"/>
      <c r="N74" s="32" t="inlineStr">
        <is>
          <t>Inactive</t>
        </is>
      </c>
      <c r="O74" s="32" t="n"/>
      <c r="P74" s="64" t="n"/>
      <c r="Q74" s="63" t="n"/>
      <c r="R74" s="63" t="n"/>
      <c r="S74" s="63"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2" t="n"/>
      <c r="M75" s="63" t="n"/>
      <c r="N75" s="32" t="inlineStr">
        <is>
          <t>Inactive</t>
        </is>
      </c>
      <c r="O75" s="32" t="n"/>
      <c r="P75" s="64" t="n"/>
      <c r="Q75" s="63" t="n"/>
      <c r="R75" s="63" t="n"/>
      <c r="S75" s="63"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2" t="n"/>
      <c r="M76" s="63" t="n"/>
      <c r="N76" s="32" t="inlineStr">
        <is>
          <t>Inactive</t>
        </is>
      </c>
      <c r="O76" s="32" t="n"/>
      <c r="P76" s="64" t="n"/>
      <c r="Q76" s="63" t="n"/>
      <c r="R76" s="63" t="n"/>
      <c r="S76" s="63"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2" t="n"/>
      <c r="M77" s="63" t="n"/>
      <c r="N77" s="32" t="inlineStr">
        <is>
          <t>Inactive</t>
        </is>
      </c>
      <c r="O77" s="32" t="n"/>
      <c r="P77" s="64" t="n"/>
      <c r="Q77" s="63" t="n"/>
      <c r="R77" s="63" t="n"/>
      <c r="S77" s="63"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2" t="n"/>
      <c r="M78" s="63" t="n"/>
      <c r="N78" s="32" t="inlineStr">
        <is>
          <t>Inactive</t>
        </is>
      </c>
      <c r="O78" s="32" t="n"/>
      <c r="P78" s="64" t="n"/>
      <c r="Q78" s="63" t="n"/>
      <c r="R78" s="63" t="n"/>
      <c r="S78" s="63"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2" t="n"/>
      <c r="M79" s="63" t="n"/>
      <c r="N79" s="32" t="inlineStr">
        <is>
          <t>Inactive</t>
        </is>
      </c>
      <c r="O79" s="32" t="n"/>
      <c r="P79" s="64" t="n"/>
      <c r="Q79" s="63" t="n"/>
      <c r="R79" s="63" t="n"/>
      <c r="S79" s="63"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2" t="n"/>
      <c r="M80" s="63" t="n"/>
      <c r="N80" s="32" t="inlineStr">
        <is>
          <t>Inactive</t>
        </is>
      </c>
      <c r="O80" s="32" t="n"/>
      <c r="P80" s="64" t="n"/>
      <c r="Q80" s="63" t="n"/>
      <c r="R80" s="63" t="n"/>
      <c r="S80" s="63"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2" t="n"/>
      <c r="M81" s="63" t="n"/>
      <c r="N81" s="32" t="inlineStr">
        <is>
          <t>Inactive</t>
        </is>
      </c>
      <c r="O81" s="32" t="n"/>
      <c r="P81" s="64" t="n"/>
      <c r="Q81" s="63" t="n"/>
      <c r="R81" s="63" t="n"/>
      <c r="S81" s="63"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2" t="n"/>
      <c r="M82" s="63" t="n"/>
      <c r="N82" s="32" t="inlineStr">
        <is>
          <t>Inactive</t>
        </is>
      </c>
      <c r="O82" s="32" t="n"/>
      <c r="P82" s="64" t="n"/>
      <c r="Q82" s="63" t="n"/>
      <c r="R82" s="63" t="n"/>
      <c r="S82" s="63"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2" t="n"/>
      <c r="M83" s="63" t="n"/>
      <c r="N83" s="32" t="inlineStr">
        <is>
          <t>Inactive</t>
        </is>
      </c>
      <c r="O83" s="32" t="n"/>
      <c r="P83" s="64" t="n"/>
      <c r="Q83" s="63" t="n"/>
      <c r="R83" s="63" t="n"/>
      <c r="S83" s="63"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59" t="n">
        <v>54.99</v>
      </c>
      <c r="H84" s="32" t="inlineStr">
        <is>
          <t>Helium 10 Xray, 2026-10-13</t>
        </is>
      </c>
      <c r="I84" s="60" t="n">
        <v>59.99</v>
      </c>
      <c r="J84" s="61" t="inlineStr">
        <is>
          <t>2026-03-30</t>
        </is>
      </c>
      <c r="K84" s="33" t="n">
        <v>22.9</v>
      </c>
      <c r="L84" s="62" t="n">
        <v>0.3817302883813969</v>
      </c>
      <c r="M84" s="63" t="n">
        <v>0</v>
      </c>
      <c r="N84" s="32" t="inlineStr">
        <is>
          <t>Active</t>
        </is>
      </c>
      <c r="O84" s="32" t="n"/>
      <c r="P84" s="64" t="n">
        <v>4.5</v>
      </c>
      <c r="Q84" s="63" t="n">
        <v>320</v>
      </c>
      <c r="R84" s="63" t="n">
        <v>252428</v>
      </c>
      <c r="S84" s="63"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59" t="n">
        <v>54.99</v>
      </c>
      <c r="H85" s="32" t="inlineStr">
        <is>
          <t>Helium 10 Xray, 2026-10-13</t>
        </is>
      </c>
      <c r="I85" s="60" t="n">
        <v>54.99</v>
      </c>
      <c r="J85" s="61" t="inlineStr">
        <is>
          <t>2026-03-30</t>
        </is>
      </c>
      <c r="K85" s="33" t="n">
        <v>18.52</v>
      </c>
      <c r="L85" s="62" t="n">
        <v>0.3367885070012729</v>
      </c>
      <c r="M85" s="63" t="n">
        <v>0</v>
      </c>
      <c r="N85" s="32" t="inlineStr">
        <is>
          <t>Active</t>
        </is>
      </c>
      <c r="O85" s="32" t="n"/>
      <c r="P85" s="64" t="n">
        <v>4.5</v>
      </c>
      <c r="Q85" s="63" t="n">
        <v>320</v>
      </c>
      <c r="R85" s="63" t="n">
        <v>252421</v>
      </c>
      <c r="S85" s="63"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2" t="n"/>
      <c r="M86" s="63" t="n"/>
      <c r="N86" s="32" t="inlineStr">
        <is>
          <t>Inactive</t>
        </is>
      </c>
      <c r="O86" s="32" t="n"/>
      <c r="P86" s="64" t="n"/>
      <c r="Q86" s="63" t="n"/>
      <c r="R86" s="63" t="n"/>
      <c r="S86" s="63"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2" t="n"/>
      <c r="M87" s="63" t="n"/>
      <c r="N87" s="32" t="inlineStr">
        <is>
          <t>Inactive</t>
        </is>
      </c>
      <c r="O87" s="32" t="n"/>
      <c r="P87" s="64" t="n"/>
      <c r="Q87" s="63" t="n"/>
      <c r="R87" s="63" t="n"/>
      <c r="S87" s="63"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59" t="n">
        <v>61.99</v>
      </c>
      <c r="H88" s="32" t="inlineStr">
        <is>
          <t>Helium 10 Xray, 2026-10-13</t>
        </is>
      </c>
      <c r="I88" s="60" t="n">
        <v>54.99</v>
      </c>
      <c r="J88" s="61" t="inlineStr">
        <is>
          <t>2026-03-30</t>
        </is>
      </c>
      <c r="K88" s="33" t="n">
        <v>18.52</v>
      </c>
      <c r="L88" s="62" t="n">
        <v>0.3367885070012729</v>
      </c>
      <c r="M88" s="63" t="n">
        <v>0</v>
      </c>
      <c r="N88" s="32" t="inlineStr">
        <is>
          <t>Active</t>
        </is>
      </c>
      <c r="O88" s="32" t="n"/>
      <c r="P88" s="64" t="n">
        <v>4.5</v>
      </c>
      <c r="Q88" s="63" t="n">
        <v>320</v>
      </c>
      <c r="R88" s="63" t="n">
        <v>252428</v>
      </c>
      <c r="S88" s="63"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2" t="n"/>
      <c r="M89" s="63" t="n"/>
      <c r="N89" s="32" t="inlineStr">
        <is>
          <t>Inactive</t>
        </is>
      </c>
      <c r="O89" s="32" t="n"/>
      <c r="P89" s="64" t="n"/>
      <c r="Q89" s="63" t="n"/>
      <c r="R89" s="63" t="n"/>
      <c r="S89" s="63"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2" t="n"/>
      <c r="M90" s="63" t="n"/>
      <c r="N90" s="32" t="inlineStr">
        <is>
          <t>Inactive</t>
        </is>
      </c>
      <c r="O90" s="32" t="n"/>
      <c r="P90" s="64" t="n"/>
      <c r="Q90" s="63" t="n"/>
      <c r="R90" s="63" t="n"/>
      <c r="S90" s="63"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2" t="n"/>
      <c r="M91" s="63" t="n"/>
      <c r="N91" s="32" t="inlineStr">
        <is>
          <t>Inactive</t>
        </is>
      </c>
      <c r="O91" s="32" t="n"/>
      <c r="P91" s="64" t="n"/>
      <c r="Q91" s="63" t="n"/>
      <c r="R91" s="63" t="n"/>
      <c r="S91" s="63"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2" t="n"/>
      <c r="M92" s="63" t="n"/>
      <c r="N92" s="32" t="inlineStr">
        <is>
          <t>Inactive</t>
        </is>
      </c>
      <c r="O92" s="32" t="n"/>
      <c r="P92" s="64" t="n"/>
      <c r="Q92" s="63" t="n"/>
      <c r="R92" s="63" t="n"/>
      <c r="S92" s="63"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2" t="n"/>
      <c r="M93" s="63" t="n"/>
      <c r="N93" s="32" t="inlineStr">
        <is>
          <t>Inactive</t>
        </is>
      </c>
      <c r="O93" s="32" t="n"/>
      <c r="P93" s="64" t="n"/>
      <c r="Q93" s="63" t="n"/>
      <c r="R93" s="63" t="n"/>
      <c r="S93" s="63"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2" t="n"/>
      <c r="M94" s="63" t="n"/>
      <c r="N94" s="32" t="inlineStr">
        <is>
          <t>Inactive</t>
        </is>
      </c>
      <c r="O94" s="32" t="n"/>
      <c r="P94" s="64" t="n"/>
      <c r="Q94" s="63" t="n"/>
      <c r="R94" s="63" t="n"/>
      <c r="S94" s="63"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2" t="n"/>
      <c r="M95" s="63" t="n"/>
      <c r="N95" s="32" t="inlineStr">
        <is>
          <t>Inactive</t>
        </is>
      </c>
      <c r="O95" s="32" t="n"/>
      <c r="P95" s="64" t="n"/>
      <c r="Q95" s="63" t="n"/>
      <c r="R95" s="63" t="n"/>
      <c r="S95" s="63"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2" t="n"/>
      <c r="M96" s="63" t="n"/>
      <c r="N96" s="32" t="inlineStr">
        <is>
          <t>Inactive</t>
        </is>
      </c>
      <c r="O96" s="32" t="n"/>
      <c r="P96" s="64" t="n"/>
      <c r="Q96" s="63" t="n"/>
      <c r="R96" s="63" t="n"/>
      <c r="S96" s="63"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2" t="n"/>
      <c r="M97" s="63" t="n"/>
      <c r="N97" s="32" t="inlineStr">
        <is>
          <t>Inactive</t>
        </is>
      </c>
      <c r="O97" s="32" t="n"/>
      <c r="P97" s="64" t="n"/>
      <c r="Q97" s="63" t="n"/>
      <c r="R97" s="63" t="n"/>
      <c r="S97" s="63"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2" t="n"/>
      <c r="M98" s="63" t="n"/>
      <c r="N98" s="32" t="inlineStr">
        <is>
          <t>Inactive</t>
        </is>
      </c>
      <c r="O98" s="32" t="n"/>
      <c r="P98" s="64" t="n"/>
      <c r="Q98" s="63" t="n"/>
      <c r="R98" s="63" t="n"/>
      <c r="S98" s="63"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2" t="n"/>
      <c r="M99" s="63" t="n"/>
      <c r="N99" s="32" t="inlineStr">
        <is>
          <t>Inactive</t>
        </is>
      </c>
      <c r="O99" s="32" t="n"/>
      <c r="P99" s="64" t="n"/>
      <c r="Q99" s="63" t="n"/>
      <c r="R99" s="63" t="n"/>
      <c r="S99" s="63"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2" t="n"/>
      <c r="M100" s="63" t="n"/>
      <c r="N100" s="32" t="inlineStr">
        <is>
          <t>Inactive</t>
        </is>
      </c>
      <c r="O100" s="32" t="n"/>
      <c r="P100" s="64" t="n"/>
      <c r="Q100" s="63" t="n"/>
      <c r="R100" s="63" t="n"/>
      <c r="S100" s="63"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2" t="n"/>
      <c r="M101" s="63" t="n"/>
      <c r="N101" s="32" t="inlineStr">
        <is>
          <t>Inactive</t>
        </is>
      </c>
      <c r="O101" s="32" t="n"/>
      <c r="P101" s="64" t="n"/>
      <c r="Q101" s="63" t="n"/>
      <c r="R101" s="63" t="n"/>
      <c r="S101" s="63" t="n"/>
      <c r="T101" s="32" t="n"/>
    </row>
    <row r="103" ht="20" customHeight="1">
      <c r="A103" s="53" t="inlineStr">
        <is>
          <t>3 · OUR BFCM 2025 RESULT &amp; EVENT VISIBILITY</t>
        </is>
      </c>
    </row>
    <row r="104">
      <c r="A104" s="66" t="inlineStr">
        <is>
          <t>Window</t>
        </is>
      </c>
      <c r="B104" s="67" t="n"/>
      <c r="C104" s="68" t="n"/>
      <c r="D104" s="66" t="inlineStr">
        <is>
          <t>Ad spend</t>
        </is>
      </c>
      <c r="E104" s="66" t="inlineStr">
        <is>
          <t>Ad sales</t>
        </is>
      </c>
      <c r="F104" s="66" t="inlineStr">
        <is>
          <t>ACoS</t>
        </is>
      </c>
      <c r="G104" s="66" t="inlineStr">
        <is>
          <t>TACoS</t>
        </is>
      </c>
      <c r="H104" s="66" t="inlineStr">
        <is>
          <t>Total sales (derived)</t>
        </is>
      </c>
      <c r="J104" s="66" t="inlineStr">
        <is>
          <t>Ad orders</t>
        </is>
      </c>
      <c r="K104" s="66" t="inlineStr">
        <is>
          <t>CVR</t>
        </is>
      </c>
    </row>
    <row r="105">
      <c r="A105" s="69" t="inlineStr">
        <is>
          <t>Pre-event Oct 21 - Nov 19, 2025 (30d)</t>
        </is>
      </c>
      <c r="B105" s="67" t="n"/>
      <c r="C105" s="68" t="n"/>
      <c r="D105" s="70" t="n"/>
      <c r="E105" s="70" t="n"/>
      <c r="F105" s="71" t="n"/>
      <c r="G105" s="71" t="n"/>
      <c r="H105" s="70" t="n"/>
      <c r="J105" s="72" t="n"/>
      <c r="K105" s="73" t="n"/>
    </row>
    <row r="106">
      <c r="A106" s="69" t="inlineStr">
        <is>
          <t>BFCM week Nov 20 - Dec 1, 2025 (12d)</t>
        </is>
      </c>
      <c r="B106" s="67" t="n"/>
      <c r="C106" s="68" t="n"/>
      <c r="D106" s="70" t="n"/>
      <c r="E106" s="70" t="n"/>
      <c r="F106" s="71" t="n"/>
      <c r="G106" s="71" t="n"/>
      <c r="H106" s="70" t="n"/>
      <c r="J106" s="72" t="n"/>
      <c r="K106" s="73" t="n"/>
    </row>
    <row r="107">
      <c r="A107" s="69" t="inlineStr">
        <is>
          <t>December 2 - 31, 2025 (30d)</t>
        </is>
      </c>
      <c r="B107" s="67" t="n"/>
      <c r="C107" s="68" t="n"/>
      <c r="D107" s="70" t="n"/>
      <c r="E107" s="70" t="n"/>
      <c r="F107" s="71" t="n"/>
      <c r="G107" s="71" t="n"/>
      <c r="H107" s="70" t="n"/>
      <c r="J107" s="72" t="n"/>
      <c r="K107" s="73" t="n"/>
    </row>
    <row r="109">
      <c r="A109" s="66" t="inlineStr">
        <is>
          <t>Actual sales (SellerBoard)</t>
        </is>
      </c>
      <c r="B109" s="67" t="n"/>
      <c r="C109" s="68" t="n"/>
      <c r="D109" s="66" t="inlineStr">
        <is>
          <t>Sales</t>
        </is>
      </c>
      <c r="E109" s="66" t="inlineStr">
        <is>
          <t>Units</t>
        </is>
      </c>
      <c r="F109" s="66" t="inlineStr">
        <is>
          <t>Organic units</t>
        </is>
      </c>
      <c r="G109" s="66" t="inlineStr">
        <is>
          <t>Ad units</t>
        </is>
      </c>
      <c r="H109" s="66" t="inlineStr">
        <is>
          <t>Ad cost</t>
        </is>
      </c>
      <c r="J109" s="66" t="inlineStr">
        <is>
          <t>TACoS (actual)</t>
        </is>
      </c>
      <c r="K109" s="66" t="inlineStr">
        <is>
          <t>Sessions</t>
        </is>
      </c>
      <c r="L109" s="66" t="inlineStr">
        <is>
          <t>Unit session %</t>
        </is>
      </c>
      <c r="M109" s="66" t="inlineStr">
        <is>
          <t>Avg price</t>
        </is>
      </c>
      <c r="N109" s="66" t="inlineStr">
        <is>
          <t>Refunds</t>
        </is>
      </c>
    </row>
    <row r="110">
      <c r="A110" s="69" t="inlineStr">
        <is>
          <t>BFCM week Nov 20 - Dec 1, 2025 (12d)</t>
        </is>
      </c>
      <c r="B110" s="67" t="n"/>
      <c r="C110" s="68" t="n"/>
      <c r="D110" s="70" t="n">
        <v>0</v>
      </c>
      <c r="E110" s="72" t="n">
        <v>0</v>
      </c>
      <c r="F110" s="72" t="n">
        <v>0</v>
      </c>
      <c r="G110" s="72" t="n">
        <v>0</v>
      </c>
      <c r="H110" s="70" t="n">
        <v>0</v>
      </c>
      <c r="J110" s="74" t="n"/>
      <c r="K110" s="72" t="n">
        <v>0</v>
      </c>
      <c r="L110" s="74" t="n"/>
      <c r="M110" s="75" t="n"/>
      <c r="N110" s="72" t="n">
        <v>0</v>
      </c>
    </row>
    <row r="111">
      <c r="A111" s="58"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NOT IN A DEAL. BM confirmed that products without a planned deal are not in any BFCM 2026 deal; they sell at their regular price.</t>
        </is>
      </c>
    </row>
    <row r="113" ht="30" customHeight="1">
      <c r="A113" s="76"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8" t="inlineStr">
        <is>
          <t>No Command Center visibility history for our best child ASIN.</t>
        </is>
      </c>
    </row>
    <row r="115">
      <c r="A115" s="111" t="inlineStr">
        <is>
          <t>No BFCM 2025 PPC data for this product (not advertised or launched after BFCM 2025).</t>
        </is>
      </c>
    </row>
    <row r="117" ht="20" customHeight="1">
      <c r="A117" s="53" t="inlineStr">
        <is>
          <t>4 · COMPETITOR LANDSCAPE (28 mapped)</t>
        </is>
      </c>
    </row>
    <row r="118">
      <c r="A118" s="58"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3"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Bamboo Fitted Sheet  ·  Amazon.com (US)  ·  Bamboo  ·  BFCM role: Excluded (ranking variations OOS to Dec 3)  ·  Scope: Core</t>
        </is>
      </c>
    </row>
    <row r="2">
      <c r="A2" s="52" t="inlineStr">
        <is>
          <t>← Dashboard</t>
        </is>
      </c>
    </row>
    <row r="3" ht="20" customHeight="1">
      <c r="A3" s="53"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4" t="inlineStr">
        <is>
          <t>King, Queen</t>
        </is>
      </c>
      <c r="S4" s="11" t="inlineStr">
        <is>
          <t>Break-even ACoS</t>
        </is>
      </c>
      <c r="T4" s="54" t="inlineStr">
        <is>
          <t>n/a</t>
        </is>
      </c>
    </row>
    <row r="5" ht="22" customHeight="1">
      <c r="C5" s="11" t="inlineStr">
        <is>
          <t>Brand</t>
        </is>
      </c>
      <c r="D5" s="54" t="inlineStr">
        <is>
          <t>Decolure</t>
        </is>
      </c>
      <c r="K5" s="11" t="inlineStr">
        <is>
          <t>Colours</t>
        </is>
      </c>
      <c r="L5" s="54" t="inlineStr">
        <is>
          <t>Black, Burgundy, Creme, Grey, Light Blue, Light Grey, Mid Grey, Navy-Blue, Olive, Taupe, White</t>
        </is>
      </c>
      <c r="S5" s="11" t="inlineStr">
        <is>
          <t>Units last 28 days</t>
        </is>
      </c>
      <c r="T5" s="54" t="inlineStr">
        <is>
          <t>102</t>
        </is>
      </c>
    </row>
    <row r="6" ht="22" customHeight="1">
      <c r="C6" s="11" t="inlineStr">
        <is>
          <t>Marketplace</t>
        </is>
      </c>
      <c r="D6" s="54" t="inlineStr">
        <is>
          <t>Amazon.com (US)</t>
        </is>
      </c>
      <c r="K6" s="11" t="inlineStr">
        <is>
          <t>Price now, best child</t>
        </is>
      </c>
      <c r="L6" s="54" t="inlineStr">
        <is>
          <t>$39.95 (Helium 10 Xray, 2026-10-13)</t>
        </is>
      </c>
      <c r="S6" s="11" t="inlineStr">
        <is>
          <t>Command Center product ASIN</t>
        </is>
      </c>
      <c r="T6" s="54" t="inlineStr">
        <is>
          <t>B0FX2T8CG8 (one of our child ASINs, not the Amazon parent)</t>
        </is>
      </c>
    </row>
    <row r="7" ht="22" customHeight="1">
      <c r="C7" s="11" t="inlineStr">
        <is>
          <t>Parent ASIN (Amazon)</t>
        </is>
      </c>
      <c r="D7" s="54" t="inlineStr">
        <is>
          <t>B0H8596KK1</t>
        </is>
      </c>
      <c r="K7" s="11" t="inlineStr">
        <is>
          <t>Rating / reviews now</t>
        </is>
      </c>
      <c r="L7" s="54" t="inlineStr">
        <is>
          <t>4.5 / 371 (Helium 10 Xray, 2026-10-13)</t>
        </is>
      </c>
    </row>
    <row r="8" ht="22" customHeight="1">
      <c r="C8" s="11" t="inlineStr">
        <is>
          <t>Best-selling child ASIN</t>
        </is>
      </c>
      <c r="D8" s="54" t="inlineStr">
        <is>
          <t>B0FX2RGLBW</t>
        </is>
      </c>
      <c r="K8" s="11" t="inlineStr">
        <is>
          <t>Live prices held</t>
        </is>
      </c>
      <c r="L8" s="54" t="inlineStr">
        <is>
          <t>19 of 22 variations</t>
        </is>
      </c>
    </row>
    <row r="9" ht="22" customHeight="1">
      <c r="C9" s="11" t="inlineStr">
        <is>
          <t>Stage</t>
        </is>
      </c>
      <c r="D9" s="54" t="inlineStr">
        <is>
          <t>Launch</t>
        </is>
      </c>
      <c r="K9" s="11" t="inlineStr">
        <is>
          <t>Blended price (Command Center)</t>
        </is>
      </c>
      <c r="L9" s="54" t="n"/>
    </row>
    <row r="10">
      <c r="C10" s="11" t="inlineStr">
        <is>
          <t>Total variations (SKUs)</t>
        </is>
      </c>
      <c r="D10" s="54" t="n">
        <v>22</v>
      </c>
      <c r="K10" s="11" t="inlineStr">
        <is>
          <t>Contribution / unit</t>
        </is>
      </c>
      <c r="L10" s="54" t="inlineStr">
        <is>
          <t>n/a</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15</t>
        </is>
      </c>
      <c r="Q12" s="56" t="inlineStr">
        <is>
          <t>1</t>
        </is>
      </c>
      <c r="U12" s="56" t="inlineStr">
        <is>
          <t>1</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(22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59" t="n">
        <v>39.95</v>
      </c>
      <c r="H18" s="32" t="inlineStr">
        <is>
          <t>Helium 10 Xray, 2026-10-13</t>
        </is>
      </c>
      <c r="I18" s="33" t="n"/>
      <c r="J18" s="32" t="n"/>
      <c r="K18" s="33" t="n"/>
      <c r="L18" s="62" t="n"/>
      <c r="M18" s="63" t="n">
        <v>14</v>
      </c>
      <c r="N18" s="32" t="inlineStr">
        <is>
          <t>Active</t>
        </is>
      </c>
      <c r="O18" s="32" t="inlineStr">
        <is>
          <t>Yes (48%)</t>
        </is>
      </c>
      <c r="P18" s="64" t="n">
        <v>4.5</v>
      </c>
      <c r="Q18" s="63" t="n">
        <v>371</v>
      </c>
      <c r="R18" s="63" t="n">
        <v>199085</v>
      </c>
      <c r="S18" s="63"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59" t="n">
        <v>39.95</v>
      </c>
      <c r="H19" s="32" t="inlineStr">
        <is>
          <t>Helium 10 Xray, 2026-10-13</t>
        </is>
      </c>
      <c r="I19" s="33" t="n"/>
      <c r="J19" s="32" t="n"/>
      <c r="K19" s="33" t="n"/>
      <c r="L19" s="62" t="n"/>
      <c r="M19" s="63" t="n">
        <v>10</v>
      </c>
      <c r="N19" s="32" t="inlineStr">
        <is>
          <t>Active</t>
        </is>
      </c>
      <c r="O19" s="32" t="n"/>
      <c r="P19" s="64" t="n">
        <v>4.5</v>
      </c>
      <c r="Q19" s="63" t="n">
        <v>371</v>
      </c>
      <c r="R19" s="63" t="n">
        <v>199088</v>
      </c>
      <c r="S19" s="63"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59" t="n">
        <v>39.95</v>
      </c>
      <c r="H20" s="32" t="inlineStr">
        <is>
          <t>Helium 10 Xray, 2026-10-13</t>
        </is>
      </c>
      <c r="I20" s="33" t="n"/>
      <c r="J20" s="32" t="n"/>
      <c r="K20" s="33" t="n"/>
      <c r="L20" s="62" t="n"/>
      <c r="M20" s="63" t="n">
        <v>9</v>
      </c>
      <c r="N20" s="32" t="inlineStr">
        <is>
          <t>Active</t>
        </is>
      </c>
      <c r="O20" s="32" t="n"/>
      <c r="P20" s="64" t="n">
        <v>4.5</v>
      </c>
      <c r="Q20" s="63" t="n">
        <v>371</v>
      </c>
      <c r="R20" s="63" t="n">
        <v>199088</v>
      </c>
      <c r="S20" s="63"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59" t="n">
        <v>39.95</v>
      </c>
      <c r="H21" s="32" t="inlineStr">
        <is>
          <t>Helium 10 Xray, 2026-10-13</t>
        </is>
      </c>
      <c r="I21" s="33" t="n"/>
      <c r="J21" s="32" t="n"/>
      <c r="K21" s="33" t="n"/>
      <c r="L21" s="62" t="n"/>
      <c r="M21" s="63" t="n">
        <v>9</v>
      </c>
      <c r="N21" s="32" t="inlineStr">
        <is>
          <t>Active</t>
        </is>
      </c>
      <c r="O21" s="32" t="n"/>
      <c r="P21" s="64" t="n">
        <v>4.5</v>
      </c>
      <c r="Q21" s="63" t="n">
        <v>371</v>
      </c>
      <c r="R21" s="63" t="n">
        <v>199088</v>
      </c>
      <c r="S21" s="63"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59" t="n">
        <v>37.95</v>
      </c>
      <c r="H22" s="32" t="inlineStr">
        <is>
          <t>Helium 10 Xray, 2026-10-13</t>
        </is>
      </c>
      <c r="I22" s="33" t="n"/>
      <c r="J22" s="32" t="n"/>
      <c r="K22" s="33" t="n"/>
      <c r="L22" s="62" t="n"/>
      <c r="M22" s="63" t="n">
        <v>6</v>
      </c>
      <c r="N22" s="32" t="inlineStr">
        <is>
          <t>Active</t>
        </is>
      </c>
      <c r="O22" s="32" t="n"/>
      <c r="P22" s="64" t="n">
        <v>4.5</v>
      </c>
      <c r="Q22" s="63" t="n">
        <v>371</v>
      </c>
      <c r="R22" s="63" t="n">
        <v>199088</v>
      </c>
      <c r="S22" s="63"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59" t="n">
        <v>39.95</v>
      </c>
      <c r="H23" s="32" t="inlineStr">
        <is>
          <t>Helium 10 Xray, 2026-10-13</t>
        </is>
      </c>
      <c r="I23" s="33" t="n"/>
      <c r="J23" s="32" t="n"/>
      <c r="K23" s="33" t="n"/>
      <c r="L23" s="62" t="n"/>
      <c r="M23" s="63" t="n">
        <v>5</v>
      </c>
      <c r="N23" s="32" t="inlineStr">
        <is>
          <t>Active</t>
        </is>
      </c>
      <c r="O23" s="32" t="n"/>
      <c r="P23" s="64" t="n">
        <v>4.5</v>
      </c>
      <c r="Q23" s="63" t="n">
        <v>371</v>
      </c>
      <c r="R23" s="63" t="n">
        <v>199088</v>
      </c>
      <c r="S23" s="63"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59" t="n">
        <v>37.95</v>
      </c>
      <c r="H24" s="32" t="inlineStr">
        <is>
          <t>Helium 10 Xray, 2026-10-13</t>
        </is>
      </c>
      <c r="I24" s="33" t="n"/>
      <c r="J24" s="32" t="n"/>
      <c r="K24" s="33" t="n"/>
      <c r="L24" s="62" t="n"/>
      <c r="M24" s="63" t="n">
        <v>5</v>
      </c>
      <c r="N24" s="32" t="inlineStr">
        <is>
          <t>Active</t>
        </is>
      </c>
      <c r="O24" s="32" t="n"/>
      <c r="P24" s="64" t="n">
        <v>4.5</v>
      </c>
      <c r="Q24" s="63" t="n">
        <v>371</v>
      </c>
      <c r="R24" s="63" t="n">
        <v>199088</v>
      </c>
      <c r="S24" s="63"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59" t="n">
        <v>37.95</v>
      </c>
      <c r="H25" s="32" t="inlineStr">
        <is>
          <t>Helium 10 Xray, 2026-10-13</t>
        </is>
      </c>
      <c r="I25" s="33" t="n"/>
      <c r="J25" s="32" t="n"/>
      <c r="K25" s="33" t="n"/>
      <c r="L25" s="62" t="n"/>
      <c r="M25" s="63" t="n">
        <v>5</v>
      </c>
      <c r="N25" s="32" t="inlineStr">
        <is>
          <t>Active</t>
        </is>
      </c>
      <c r="O25" s="32" t="n"/>
      <c r="P25" s="64" t="n">
        <v>4.5</v>
      </c>
      <c r="Q25" s="63" t="n">
        <v>371</v>
      </c>
      <c r="R25" s="63" t="n">
        <v>199085</v>
      </c>
      <c r="S25" s="63"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59" t="n">
        <v>39.95</v>
      </c>
      <c r="H26" s="32" t="inlineStr">
        <is>
          <t>Helium 10 Xray, 2026-10-13</t>
        </is>
      </c>
      <c r="I26" s="33" t="n"/>
      <c r="J26" s="32" t="n"/>
      <c r="K26" s="33" t="n"/>
      <c r="L26" s="62" t="n"/>
      <c r="M26" s="63" t="n">
        <v>4</v>
      </c>
      <c r="N26" s="32" t="inlineStr">
        <is>
          <t>Active</t>
        </is>
      </c>
      <c r="O26" s="32" t="n"/>
      <c r="P26" s="64" t="n">
        <v>4.5</v>
      </c>
      <c r="Q26" s="63" t="n">
        <v>371</v>
      </c>
      <c r="R26" s="63" t="n">
        <v>199088</v>
      </c>
      <c r="S26" s="63"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59" t="n">
        <v>39.95</v>
      </c>
      <c r="H27" s="32" t="inlineStr">
        <is>
          <t>Helium 10 Xray, 2026-10-13</t>
        </is>
      </c>
      <c r="I27" s="33" t="n"/>
      <c r="J27" s="32" t="n"/>
      <c r="K27" s="33" t="n"/>
      <c r="L27" s="62" t="n"/>
      <c r="M27" s="63" t="n">
        <v>4</v>
      </c>
      <c r="N27" s="32" t="inlineStr">
        <is>
          <t>Active</t>
        </is>
      </c>
      <c r="O27" s="32" t="n"/>
      <c r="P27" s="64" t="n">
        <v>4.5</v>
      </c>
      <c r="Q27" s="63" t="n">
        <v>371</v>
      </c>
      <c r="R27" s="63" t="n">
        <v>199088</v>
      </c>
      <c r="S27" s="63"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59" t="n">
        <v>37.95</v>
      </c>
      <c r="H28" s="32" t="inlineStr">
        <is>
          <t>Helium 10 Xray, 2026-10-13</t>
        </is>
      </c>
      <c r="I28" s="33" t="n"/>
      <c r="J28" s="32" t="n"/>
      <c r="K28" s="33" t="n"/>
      <c r="L28" s="62" t="n"/>
      <c r="M28" s="63" t="n">
        <v>4</v>
      </c>
      <c r="N28" s="32" t="inlineStr">
        <is>
          <t>Active</t>
        </is>
      </c>
      <c r="O28" s="32" t="n"/>
      <c r="P28" s="64" t="n">
        <v>4.5</v>
      </c>
      <c r="Q28" s="63" t="n">
        <v>371</v>
      </c>
      <c r="R28" s="63" t="n">
        <v>199088</v>
      </c>
      <c r="S28" s="63"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59" t="n">
        <v>37.95</v>
      </c>
      <c r="H29" s="32" t="inlineStr">
        <is>
          <t>Helium 10 Xray, 2026-10-13</t>
        </is>
      </c>
      <c r="I29" s="33" t="n"/>
      <c r="J29" s="32" t="n"/>
      <c r="K29" s="33" t="n"/>
      <c r="L29" s="62" t="n"/>
      <c r="M29" s="63" t="n">
        <v>4</v>
      </c>
      <c r="N29" s="32" t="inlineStr">
        <is>
          <t>Active</t>
        </is>
      </c>
      <c r="O29" s="32" t="n"/>
      <c r="P29" s="64" t="n">
        <v>4.5</v>
      </c>
      <c r="Q29" s="63" t="n">
        <v>371</v>
      </c>
      <c r="R29" s="63" t="n">
        <v>199088</v>
      </c>
      <c r="S29" s="63"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59" t="n">
        <v>37.95</v>
      </c>
      <c r="H30" s="32" t="inlineStr">
        <is>
          <t>Helium 10 Xray, 2026-10-13</t>
        </is>
      </c>
      <c r="I30" s="33" t="n"/>
      <c r="J30" s="32" t="n"/>
      <c r="K30" s="33" t="n"/>
      <c r="L30" s="62" t="n"/>
      <c r="M30" s="63" t="n">
        <v>4</v>
      </c>
      <c r="N30" s="32" t="inlineStr">
        <is>
          <t>Active</t>
        </is>
      </c>
      <c r="O30" s="32" t="n"/>
      <c r="P30" s="64" t="n">
        <v>4.5</v>
      </c>
      <c r="Q30" s="63" t="n">
        <v>371</v>
      </c>
      <c r="R30" s="63" t="n">
        <v>199088</v>
      </c>
      <c r="S30" s="63"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59" t="n">
        <v>37.95</v>
      </c>
      <c r="H31" s="32" t="inlineStr">
        <is>
          <t>Helium 10 Xray, 2026-10-13</t>
        </is>
      </c>
      <c r="I31" s="33" t="n"/>
      <c r="J31" s="32" t="n"/>
      <c r="K31" s="33" t="n"/>
      <c r="L31" s="62" t="n"/>
      <c r="M31" s="63" t="n">
        <v>4</v>
      </c>
      <c r="N31" s="32" t="inlineStr">
        <is>
          <t>Active</t>
        </is>
      </c>
      <c r="O31" s="32" t="inlineStr">
        <is>
          <t>Yes (9%)</t>
        </is>
      </c>
      <c r="P31" s="64" t="n">
        <v>4.5</v>
      </c>
      <c r="Q31" s="63" t="n">
        <v>371</v>
      </c>
      <c r="R31" s="63" t="n">
        <v>199088</v>
      </c>
      <c r="S31" s="63"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59" t="n">
        <v>39.95</v>
      </c>
      <c r="H32" s="32" t="inlineStr">
        <is>
          <t>Helium 10 Xray, 2026-10-13</t>
        </is>
      </c>
      <c r="I32" s="33" t="n"/>
      <c r="J32" s="32" t="n"/>
      <c r="K32" s="33" t="n"/>
      <c r="L32" s="62" t="n"/>
      <c r="M32" s="63" t="n">
        <v>3</v>
      </c>
      <c r="N32" s="32" t="inlineStr">
        <is>
          <t>Active</t>
        </is>
      </c>
      <c r="O32" s="32" t="n"/>
      <c r="P32" s="64" t="n">
        <v>4.5</v>
      </c>
      <c r="Q32" s="63" t="n">
        <v>371</v>
      </c>
      <c r="R32" s="63" t="n">
        <v>199088</v>
      </c>
      <c r="S32" s="63"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2" t="n"/>
      <c r="M33" s="63" t="n">
        <v>3</v>
      </c>
      <c r="N33" s="32" t="inlineStr">
        <is>
          <t>Active</t>
        </is>
      </c>
      <c r="O33" s="32" t="inlineStr">
        <is>
          <t>Yes (8%)</t>
        </is>
      </c>
      <c r="P33" s="64" t="n"/>
      <c r="Q33" s="63" t="n"/>
      <c r="R33" s="63" t="n"/>
      <c r="S33" s="63"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59" t="n">
        <v>39.95</v>
      </c>
      <c r="H34" s="32" t="inlineStr">
        <is>
          <t>Helium 10 Xray, 2026-10-13</t>
        </is>
      </c>
      <c r="I34" s="33" t="n"/>
      <c r="J34" s="32" t="n"/>
      <c r="K34" s="33" t="n"/>
      <c r="L34" s="62" t="n"/>
      <c r="M34" s="63" t="n">
        <v>2</v>
      </c>
      <c r="N34" s="32" t="inlineStr">
        <is>
          <t>Active</t>
        </is>
      </c>
      <c r="O34" s="32" t="n"/>
      <c r="P34" s="64" t="n">
        <v>4.5</v>
      </c>
      <c r="Q34" s="63" t="n">
        <v>371</v>
      </c>
      <c r="R34" s="63" t="n">
        <v>199088</v>
      </c>
      <c r="S34" s="63"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2" t="n"/>
      <c r="M35" s="63" t="n">
        <v>2</v>
      </c>
      <c r="N35" s="32" t="inlineStr">
        <is>
          <t>Inactive</t>
        </is>
      </c>
      <c r="O35" s="32" t="n"/>
      <c r="P35" s="64" t="n"/>
      <c r="Q35" s="63" t="n"/>
      <c r="R35" s="63" t="n"/>
      <c r="S35" s="63"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59" t="n">
        <v>37.95</v>
      </c>
      <c r="H36" s="32" t="inlineStr">
        <is>
          <t>Helium 10 Xray, 2026-10-13</t>
        </is>
      </c>
      <c r="I36" s="33" t="n"/>
      <c r="J36" s="32" t="n"/>
      <c r="K36" s="33" t="n"/>
      <c r="L36" s="62" t="n"/>
      <c r="M36" s="63" t="n">
        <v>2</v>
      </c>
      <c r="N36" s="32" t="inlineStr">
        <is>
          <t>Active</t>
        </is>
      </c>
      <c r="O36" s="32" t="inlineStr">
        <is>
          <t>Yes (18%)</t>
        </is>
      </c>
      <c r="P36" s="64" t="n">
        <v>4.5</v>
      </c>
      <c r="Q36" s="63" t="n">
        <v>371</v>
      </c>
      <c r="R36" s="63" t="n">
        <v>199088</v>
      </c>
      <c r="S36" s="63"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59" t="n">
        <v>37.95</v>
      </c>
      <c r="H37" s="32" t="inlineStr">
        <is>
          <t>Helium 10 Xray, 2026-10-13</t>
        </is>
      </c>
      <c r="I37" s="33" t="n"/>
      <c r="J37" s="32" t="n"/>
      <c r="K37" s="33" t="n"/>
      <c r="L37" s="62" t="n"/>
      <c r="M37" s="63" t="n">
        <v>2</v>
      </c>
      <c r="N37" s="32" t="inlineStr">
        <is>
          <t>Active</t>
        </is>
      </c>
      <c r="O37" s="32" t="n"/>
      <c r="P37" s="64" t="n">
        <v>4.5</v>
      </c>
      <c r="Q37" s="63" t="n">
        <v>371</v>
      </c>
      <c r="R37" s="63" t="n">
        <v>199088</v>
      </c>
      <c r="S37" s="63"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2" t="n"/>
      <c r="M38" s="63" t="n">
        <v>1</v>
      </c>
      <c r="N38" s="32" t="inlineStr">
        <is>
          <t>Active</t>
        </is>
      </c>
      <c r="O38" s="32" t="n"/>
      <c r="P38" s="64" t="n"/>
      <c r="Q38" s="63" t="n"/>
      <c r="R38" s="63" t="n"/>
      <c r="S38" s="63"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59" t="n">
        <v>37.95</v>
      </c>
      <c r="H39" s="32" t="inlineStr">
        <is>
          <t>Helium 10 Xray, 2026-10-13</t>
        </is>
      </c>
      <c r="I39" s="33" t="n"/>
      <c r="J39" s="32" t="n"/>
      <c r="K39" s="33" t="n"/>
      <c r="L39" s="62" t="n"/>
      <c r="M39" s="63" t="n">
        <v>0</v>
      </c>
      <c r="N39" s="32" t="inlineStr">
        <is>
          <t>Active</t>
        </is>
      </c>
      <c r="O39" s="32" t="n"/>
      <c r="P39" s="64" t="n">
        <v>4.5</v>
      </c>
      <c r="Q39" s="63" t="n">
        <v>371</v>
      </c>
      <c r="R39" s="63" t="n">
        <v>199085</v>
      </c>
      <c r="S39" s="63" t="n">
        <v>4</v>
      </c>
      <c r="T39" s="32" t="n"/>
    </row>
    <row r="41" ht="20" customHeight="1">
      <c r="A41" s="53" t="inlineStr">
        <is>
          <t>3 · OUR BFCM 2025 RESULT &amp; EVENT VISIBILITY</t>
        </is>
      </c>
    </row>
    <row r="42">
      <c r="A42" s="66" t="inlineStr">
        <is>
          <t>Window</t>
        </is>
      </c>
      <c r="B42" s="67" t="n"/>
      <c r="C42" s="68" t="n"/>
      <c r="D42" s="66" t="inlineStr">
        <is>
          <t>Ad spend</t>
        </is>
      </c>
      <c r="E42" s="66" t="inlineStr">
        <is>
          <t>Ad sales</t>
        </is>
      </c>
      <c r="F42" s="66" t="inlineStr">
        <is>
          <t>ACoS</t>
        </is>
      </c>
      <c r="G42" s="66" t="inlineStr">
        <is>
          <t>TACoS</t>
        </is>
      </c>
      <c r="H42" s="66" t="inlineStr">
        <is>
          <t>Total sales (derived)</t>
        </is>
      </c>
      <c r="J42" s="66" t="inlineStr">
        <is>
          <t>Ad orders</t>
        </is>
      </c>
      <c r="K42" s="66" t="inlineStr">
        <is>
          <t>CVR</t>
        </is>
      </c>
    </row>
    <row r="43">
      <c r="A43" s="69" t="inlineStr">
        <is>
          <t>Pre-event Oct 21 - Nov 19, 2025 (30d)</t>
        </is>
      </c>
      <c r="B43" s="67" t="n"/>
      <c r="C43" s="68" t="n"/>
      <c r="D43" s="70" t="n"/>
      <c r="E43" s="70" t="n"/>
      <c r="F43" s="71" t="n"/>
      <c r="G43" s="71" t="n"/>
      <c r="H43" s="70" t="n"/>
      <c r="J43" s="72" t="n"/>
      <c r="K43" s="73" t="n"/>
    </row>
    <row r="44">
      <c r="A44" s="69" t="inlineStr">
        <is>
          <t>BFCM week Nov 20 - Dec 1, 2025 (12d)</t>
        </is>
      </c>
      <c r="B44" s="67" t="n"/>
      <c r="C44" s="68" t="n"/>
      <c r="D44" s="70" t="n"/>
      <c r="E44" s="70" t="n"/>
      <c r="F44" s="71" t="n"/>
      <c r="G44" s="71" t="n"/>
      <c r="H44" s="70" t="n"/>
      <c r="J44" s="72" t="n"/>
      <c r="K44" s="73" t="n"/>
    </row>
    <row r="45">
      <c r="A45" s="69" t="inlineStr">
        <is>
          <t>December 2 - 31, 2025 (30d)</t>
        </is>
      </c>
      <c r="B45" s="67" t="n"/>
      <c r="C45" s="68" t="n"/>
      <c r="D45" s="70" t="n"/>
      <c r="E45" s="70" t="n"/>
      <c r="F45" s="71" t="n"/>
      <c r="G45" s="71" t="n"/>
      <c r="H45" s="70" t="n"/>
      <c r="J45" s="72" t="n"/>
      <c r="K45" s="73" t="n"/>
    </row>
    <row r="46" ht="18" customHeight="1">
      <c r="A46" s="110" t="inlineStr">
        <is>
          <t>BFCM 2026 plan (BM, Oct 15, 2026): NOT IN A DEAL. BM confirmed that products without a planned deal are not in any BFCM 2026 deal; they sell at their regular price.</t>
        </is>
      </c>
    </row>
    <row r="47">
      <c r="A47" s="58" t="inlineStr">
        <is>
          <t>No Command Center visibility history for our best child ASIN.</t>
        </is>
      </c>
    </row>
    <row r="49" ht="20" customHeight="1">
      <c r="A49" s="53" t="inlineStr">
        <is>
          <t>4 · COMPETITOR LANDSCAPE (15 mapped)</t>
        </is>
      </c>
    </row>
    <row r="50">
      <c r="A50" s="58"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9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9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9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10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10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9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9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9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10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9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10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9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3"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Bamboo Pillowcases  ·  Amazon.com (US)  ·  Bamboo  ·  BFCM role: Other  ·  Scope: Not launched</t>
        </is>
      </c>
    </row>
    <row r="2">
      <c r="A2" s="52" t="inlineStr">
        <is>
          <t>← Dashboard</t>
        </is>
      </c>
      <c r="C2" s="109" t="inlineStr">
        <is>
          <t>NOT LAUNCHED YET (confirmed Oct 14, 2026): no live price, rating or sales expected; excluded from the gap counts on Data Check.</t>
        </is>
      </c>
    </row>
    <row r="3" ht="20" customHeight="1">
      <c r="A3" s="53"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54" t="inlineStr">
        <is>
          <t>King, Queen, Standard</t>
        </is>
      </c>
      <c r="S4" s="11" t="inlineStr">
        <is>
          <t>Break-even ACoS</t>
        </is>
      </c>
      <c r="T4" s="54" t="inlineStr">
        <is>
          <t>n/a</t>
        </is>
      </c>
    </row>
    <row r="5" ht="22" customHeight="1">
      <c r="C5" s="11" t="inlineStr">
        <is>
          <t>Brand</t>
        </is>
      </c>
      <c r="D5" s="54" t="inlineStr">
        <is>
          <t>Sleephoria</t>
        </is>
      </c>
      <c r="K5" s="11" t="inlineStr">
        <is>
          <t>Colours</t>
        </is>
      </c>
      <c r="L5" s="54" t="inlineStr">
        <is>
          <t>Black, Charcoal, Cobalt Blue, Cream, Dark Grey, Dune, Haze Blue, Ivory, Jacquard Sand, Light Grey, Navy Blue, Sage Green, Sand, Sea Glass, Silver Grey, Sterling Blue, Terracotta, White</t>
        </is>
      </c>
      <c r="S5" s="11" t="inlineStr">
        <is>
          <t>Units last 28 days</t>
        </is>
      </c>
      <c r="T5" s="54" t="inlineStr">
        <is>
          <t>0</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B0FX2RDXXR (one of our child ASINs, not the Amazon parent)</t>
        </is>
      </c>
    </row>
    <row r="7" ht="22" customHeight="1">
      <c r="C7" s="11" t="inlineStr">
        <is>
          <t>Parent ASIN (Amazon)</t>
        </is>
      </c>
      <c r="D7" s="54" t="inlineStr">
        <is>
          <t>B0FX2RDXXR</t>
        </is>
      </c>
      <c r="K7" s="11" t="inlineStr">
        <is>
          <t>Rating / reviews now</t>
        </is>
      </c>
      <c r="L7" s="54" t="inlineStr">
        <is>
          <t>Not checked yet</t>
        </is>
      </c>
    </row>
    <row r="8" ht="22" customHeight="1">
      <c r="C8" s="11" t="inlineStr">
        <is>
          <t>Best-selling child ASIN</t>
        </is>
      </c>
      <c r="D8" s="54" t="n"/>
      <c r="K8" s="11" t="inlineStr">
        <is>
          <t>Live prices held</t>
        </is>
      </c>
      <c r="L8" s="54" t="inlineStr">
        <is>
          <t>0 of 54 variations</t>
        </is>
      </c>
    </row>
    <row r="9" ht="22" customHeight="1">
      <c r="C9" s="11" t="inlineStr">
        <is>
          <t>Stage</t>
        </is>
      </c>
      <c r="D9" s="54" t="inlineStr">
        <is>
          <t>Production</t>
        </is>
      </c>
      <c r="K9" s="11" t="inlineStr">
        <is>
          <t>Blended price (Command Center)</t>
        </is>
      </c>
      <c r="L9" s="54" t="n"/>
    </row>
    <row r="10">
      <c r="C10" s="11" t="inlineStr">
        <is>
          <t>Total variations (SKUs)</t>
        </is>
      </c>
      <c r="D10" s="54" t="n">
        <v>54</v>
      </c>
      <c r="K10" s="11" t="inlineStr">
        <is>
          <t>Contribution / unit</t>
        </is>
      </c>
      <c r="L10" s="54" t="inlineStr">
        <is>
          <t>n/a</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6</t>
        </is>
      </c>
      <c r="Q12" s="56" t="inlineStr">
        <is>
          <t>0</t>
        </is>
      </c>
      <c r="U12" s="56" t="inlineStr">
        <is>
          <t>0</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(54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2" t="n"/>
      <c r="M18" s="63" t="n"/>
      <c r="N18" s="32" t="inlineStr">
        <is>
          <t>Inactive</t>
        </is>
      </c>
      <c r="O18" s="32" t="n"/>
      <c r="P18" s="64" t="n"/>
      <c r="Q18" s="63" t="n"/>
      <c r="R18" s="63" t="n"/>
      <c r="S18" s="63"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2" t="n"/>
      <c r="M19" s="63" t="n"/>
      <c r="N19" s="32" t="inlineStr">
        <is>
          <t>Inactive</t>
        </is>
      </c>
      <c r="O19" s="32" t="n"/>
      <c r="P19" s="64" t="n"/>
      <c r="Q19" s="63" t="n"/>
      <c r="R19" s="63" t="n"/>
      <c r="S19" s="63"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2" t="n"/>
      <c r="M20" s="63" t="n"/>
      <c r="N20" s="32" t="inlineStr">
        <is>
          <t>Inactive</t>
        </is>
      </c>
      <c r="O20" s="32" t="n"/>
      <c r="P20" s="64" t="n"/>
      <c r="Q20" s="63" t="n"/>
      <c r="R20" s="63" t="n"/>
      <c r="S20" s="63"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2" t="n"/>
      <c r="M21" s="63" t="n"/>
      <c r="N21" s="32" t="inlineStr">
        <is>
          <t>Inactive</t>
        </is>
      </c>
      <c r="O21" s="32" t="n"/>
      <c r="P21" s="64" t="n"/>
      <c r="Q21" s="63" t="n"/>
      <c r="R21" s="63" t="n"/>
      <c r="S21" s="63"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2" t="n"/>
      <c r="M22" s="63" t="n"/>
      <c r="N22" s="32" t="inlineStr">
        <is>
          <t>Inactive</t>
        </is>
      </c>
      <c r="O22" s="32" t="n"/>
      <c r="P22" s="64" t="n"/>
      <c r="Q22" s="63" t="n"/>
      <c r="R22" s="63" t="n"/>
      <c r="S22" s="63"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2" t="n"/>
      <c r="M23" s="63" t="n"/>
      <c r="N23" s="32" t="inlineStr">
        <is>
          <t>Inactive</t>
        </is>
      </c>
      <c r="O23" s="32" t="n"/>
      <c r="P23" s="64" t="n"/>
      <c r="Q23" s="63" t="n"/>
      <c r="R23" s="63" t="n"/>
      <c r="S23" s="63"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2" t="n"/>
      <c r="M24" s="63" t="n"/>
      <c r="N24" s="32" t="inlineStr">
        <is>
          <t>Inactive</t>
        </is>
      </c>
      <c r="O24" s="32" t="n"/>
      <c r="P24" s="64" t="n"/>
      <c r="Q24" s="63" t="n"/>
      <c r="R24" s="63" t="n"/>
      <c r="S24" s="63"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2" t="n"/>
      <c r="M25" s="63" t="n"/>
      <c r="N25" s="32" t="inlineStr">
        <is>
          <t>Inactive</t>
        </is>
      </c>
      <c r="O25" s="32" t="n"/>
      <c r="P25" s="64" t="n"/>
      <c r="Q25" s="63" t="n"/>
      <c r="R25" s="63" t="n"/>
      <c r="S25" s="63"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2" t="n"/>
      <c r="M26" s="63" t="n"/>
      <c r="N26" s="32" t="inlineStr">
        <is>
          <t>Inactive</t>
        </is>
      </c>
      <c r="O26" s="32" t="n"/>
      <c r="P26" s="64" t="n"/>
      <c r="Q26" s="63" t="n"/>
      <c r="R26" s="63" t="n"/>
      <c r="S26" s="63"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2" t="n"/>
      <c r="M27" s="63" t="n"/>
      <c r="N27" s="32" t="inlineStr">
        <is>
          <t>Inactive</t>
        </is>
      </c>
      <c r="O27" s="32" t="n"/>
      <c r="P27" s="64" t="n"/>
      <c r="Q27" s="63" t="n"/>
      <c r="R27" s="63" t="n"/>
      <c r="S27" s="63"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2" t="n"/>
      <c r="M28" s="63" t="n"/>
      <c r="N28" s="32" t="inlineStr">
        <is>
          <t>Inactive</t>
        </is>
      </c>
      <c r="O28" s="32" t="n"/>
      <c r="P28" s="64" t="n"/>
      <c r="Q28" s="63" t="n"/>
      <c r="R28" s="63" t="n"/>
      <c r="S28" s="63"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2" t="n"/>
      <c r="M29" s="63" t="n"/>
      <c r="N29" s="32" t="inlineStr">
        <is>
          <t>Inactive</t>
        </is>
      </c>
      <c r="O29" s="32" t="n"/>
      <c r="P29" s="64" t="n"/>
      <c r="Q29" s="63" t="n"/>
      <c r="R29" s="63" t="n"/>
      <c r="S29" s="63"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2" t="n"/>
      <c r="M30" s="63" t="n"/>
      <c r="N30" s="32" t="inlineStr">
        <is>
          <t>Inactive</t>
        </is>
      </c>
      <c r="O30" s="32" t="n"/>
      <c r="P30" s="64" t="n"/>
      <c r="Q30" s="63" t="n"/>
      <c r="R30" s="63" t="n"/>
      <c r="S30" s="63"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2" t="n"/>
      <c r="M31" s="63" t="n"/>
      <c r="N31" s="32" t="inlineStr">
        <is>
          <t>Inactive</t>
        </is>
      </c>
      <c r="O31" s="32" t="n"/>
      <c r="P31" s="64" t="n"/>
      <c r="Q31" s="63" t="n"/>
      <c r="R31" s="63" t="n"/>
      <c r="S31" s="63"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2" t="n"/>
      <c r="M32" s="63" t="n"/>
      <c r="N32" s="32" t="inlineStr">
        <is>
          <t>Inactive</t>
        </is>
      </c>
      <c r="O32" s="32" t="n"/>
      <c r="P32" s="64" t="n"/>
      <c r="Q32" s="63" t="n"/>
      <c r="R32" s="63" t="n"/>
      <c r="S32" s="63"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2" t="n"/>
      <c r="M33" s="63" t="n"/>
      <c r="N33" s="32" t="inlineStr">
        <is>
          <t>Inactive</t>
        </is>
      </c>
      <c r="O33" s="32" t="n"/>
      <c r="P33" s="64" t="n"/>
      <c r="Q33" s="63" t="n"/>
      <c r="R33" s="63" t="n"/>
      <c r="S33" s="63"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2" t="n"/>
      <c r="M34" s="63" t="n"/>
      <c r="N34" s="32" t="inlineStr">
        <is>
          <t>Inactive</t>
        </is>
      </c>
      <c r="O34" s="32" t="n"/>
      <c r="P34" s="64" t="n"/>
      <c r="Q34" s="63" t="n"/>
      <c r="R34" s="63" t="n"/>
      <c r="S34" s="63"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2" t="n"/>
      <c r="M35" s="63" t="n"/>
      <c r="N35" s="32" t="inlineStr">
        <is>
          <t>Inactive</t>
        </is>
      </c>
      <c r="O35" s="32" t="n"/>
      <c r="P35" s="64" t="n"/>
      <c r="Q35" s="63" t="n"/>
      <c r="R35" s="63" t="n"/>
      <c r="S35" s="63"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2" t="n"/>
      <c r="M36" s="63" t="n"/>
      <c r="N36" s="32" t="inlineStr">
        <is>
          <t>Inactive</t>
        </is>
      </c>
      <c r="O36" s="32" t="n"/>
      <c r="P36" s="64" t="n"/>
      <c r="Q36" s="63" t="n"/>
      <c r="R36" s="63" t="n"/>
      <c r="S36" s="63"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2" t="n"/>
      <c r="M37" s="63" t="n"/>
      <c r="N37" s="32" t="inlineStr">
        <is>
          <t>Inactive</t>
        </is>
      </c>
      <c r="O37" s="32" t="n"/>
      <c r="P37" s="64" t="n"/>
      <c r="Q37" s="63" t="n"/>
      <c r="R37" s="63" t="n"/>
      <c r="S37" s="63"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2" t="n"/>
      <c r="M38" s="63" t="n"/>
      <c r="N38" s="32" t="inlineStr">
        <is>
          <t>Inactive</t>
        </is>
      </c>
      <c r="O38" s="32" t="n"/>
      <c r="P38" s="64" t="n"/>
      <c r="Q38" s="63" t="n"/>
      <c r="R38" s="63" t="n"/>
      <c r="S38" s="63"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2" t="n"/>
      <c r="M39" s="63" t="n"/>
      <c r="N39" s="32" t="inlineStr">
        <is>
          <t>Inactive</t>
        </is>
      </c>
      <c r="O39" s="32" t="n"/>
      <c r="P39" s="64" t="n"/>
      <c r="Q39" s="63" t="n"/>
      <c r="R39" s="63" t="n"/>
      <c r="S39" s="63"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2" t="n"/>
      <c r="M40" s="63" t="n"/>
      <c r="N40" s="32" t="inlineStr">
        <is>
          <t>Inactive</t>
        </is>
      </c>
      <c r="O40" s="32" t="n"/>
      <c r="P40" s="64" t="n"/>
      <c r="Q40" s="63" t="n"/>
      <c r="R40" s="63" t="n"/>
      <c r="S40" s="63"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2" t="n"/>
      <c r="M41" s="63" t="n"/>
      <c r="N41" s="32" t="inlineStr">
        <is>
          <t>Inactive</t>
        </is>
      </c>
      <c r="O41" s="32" t="n"/>
      <c r="P41" s="64" t="n"/>
      <c r="Q41" s="63" t="n"/>
      <c r="R41" s="63" t="n"/>
      <c r="S41" s="63"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2" t="n"/>
      <c r="M42" s="63" t="n"/>
      <c r="N42" s="32" t="inlineStr">
        <is>
          <t>Inactive</t>
        </is>
      </c>
      <c r="O42" s="32" t="n"/>
      <c r="P42" s="64" t="n"/>
      <c r="Q42" s="63" t="n"/>
      <c r="R42" s="63" t="n"/>
      <c r="S42" s="63"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2" t="n"/>
      <c r="M43" s="63" t="n"/>
      <c r="N43" s="32" t="inlineStr">
        <is>
          <t>Inactive</t>
        </is>
      </c>
      <c r="O43" s="32" t="n"/>
      <c r="P43" s="64" t="n"/>
      <c r="Q43" s="63" t="n"/>
      <c r="R43" s="63" t="n"/>
      <c r="S43" s="63"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2" t="n"/>
      <c r="M44" s="63" t="n"/>
      <c r="N44" s="32" t="inlineStr">
        <is>
          <t>Inactive</t>
        </is>
      </c>
      <c r="O44" s="32" t="n"/>
      <c r="P44" s="64" t="n"/>
      <c r="Q44" s="63" t="n"/>
      <c r="R44" s="63" t="n"/>
      <c r="S44" s="63"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2" t="n"/>
      <c r="M45" s="63" t="n"/>
      <c r="N45" s="32" t="inlineStr">
        <is>
          <t>Inactive</t>
        </is>
      </c>
      <c r="O45" s="32" t="n"/>
      <c r="P45" s="64" t="n"/>
      <c r="Q45" s="63" t="n"/>
      <c r="R45" s="63" t="n"/>
      <c r="S45" s="63"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2" t="n"/>
      <c r="M46" s="63" t="n"/>
      <c r="N46" s="32" t="inlineStr">
        <is>
          <t>Inactive</t>
        </is>
      </c>
      <c r="O46" s="32" t="n"/>
      <c r="P46" s="64" t="n"/>
      <c r="Q46" s="63" t="n"/>
      <c r="R46" s="63" t="n"/>
      <c r="S46" s="63"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2" t="n"/>
      <c r="M47" s="63" t="n"/>
      <c r="N47" s="32" t="inlineStr">
        <is>
          <t>Inactive</t>
        </is>
      </c>
      <c r="O47" s="32" t="n"/>
      <c r="P47" s="64" t="n"/>
      <c r="Q47" s="63" t="n"/>
      <c r="R47" s="63" t="n"/>
      <c r="S47" s="63"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2" t="n"/>
      <c r="M48" s="63" t="n"/>
      <c r="N48" s="32" t="inlineStr">
        <is>
          <t>Inactive</t>
        </is>
      </c>
      <c r="O48" s="32" t="n"/>
      <c r="P48" s="64" t="n"/>
      <c r="Q48" s="63" t="n"/>
      <c r="R48" s="63" t="n"/>
      <c r="S48" s="63"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2" t="n"/>
      <c r="M49" s="63" t="n"/>
      <c r="N49" s="32" t="inlineStr">
        <is>
          <t>Inactive</t>
        </is>
      </c>
      <c r="O49" s="32" t="n"/>
      <c r="P49" s="64" t="n"/>
      <c r="Q49" s="63" t="n"/>
      <c r="R49" s="63" t="n"/>
      <c r="S49" s="63"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2" t="n"/>
      <c r="M50" s="63" t="n"/>
      <c r="N50" s="32" t="inlineStr">
        <is>
          <t>Inactive</t>
        </is>
      </c>
      <c r="O50" s="32" t="n"/>
      <c r="P50" s="64" t="n"/>
      <c r="Q50" s="63" t="n"/>
      <c r="R50" s="63" t="n"/>
      <c r="S50" s="63"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2" t="n"/>
      <c r="M51" s="63" t="n"/>
      <c r="N51" s="32" t="inlineStr">
        <is>
          <t>Inactive</t>
        </is>
      </c>
      <c r="O51" s="32" t="n"/>
      <c r="P51" s="64" t="n"/>
      <c r="Q51" s="63" t="n"/>
      <c r="R51" s="63" t="n"/>
      <c r="S51" s="63"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2" t="n"/>
      <c r="M52" s="63" t="n"/>
      <c r="N52" s="32" t="inlineStr">
        <is>
          <t>Inactive</t>
        </is>
      </c>
      <c r="O52" s="32" t="n"/>
      <c r="P52" s="64" t="n"/>
      <c r="Q52" s="63" t="n"/>
      <c r="R52" s="63" t="n"/>
      <c r="S52" s="63"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2" t="n"/>
      <c r="M53" s="63" t="n"/>
      <c r="N53" s="32" t="inlineStr">
        <is>
          <t>Inactive</t>
        </is>
      </c>
      <c r="O53" s="32" t="n"/>
      <c r="P53" s="64" t="n"/>
      <c r="Q53" s="63" t="n"/>
      <c r="R53" s="63" t="n"/>
      <c r="S53" s="63"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2" t="n"/>
      <c r="M54" s="63" t="n"/>
      <c r="N54" s="32" t="inlineStr">
        <is>
          <t>Inactive</t>
        </is>
      </c>
      <c r="O54" s="32" t="n"/>
      <c r="P54" s="64" t="n"/>
      <c r="Q54" s="63" t="n"/>
      <c r="R54" s="63" t="n"/>
      <c r="S54" s="63"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2" t="n"/>
      <c r="M55" s="63" t="n"/>
      <c r="N55" s="32" t="inlineStr">
        <is>
          <t>Inactive</t>
        </is>
      </c>
      <c r="O55" s="32" t="n"/>
      <c r="P55" s="64" t="n"/>
      <c r="Q55" s="63" t="n"/>
      <c r="R55" s="63" t="n"/>
      <c r="S55" s="63"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2" t="n"/>
      <c r="M56" s="63" t="n"/>
      <c r="N56" s="32" t="inlineStr">
        <is>
          <t>Inactive</t>
        </is>
      </c>
      <c r="O56" s="32" t="n"/>
      <c r="P56" s="64" t="n"/>
      <c r="Q56" s="63" t="n"/>
      <c r="R56" s="63" t="n"/>
      <c r="S56" s="63"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2" t="n"/>
      <c r="M57" s="63" t="n"/>
      <c r="N57" s="32" t="inlineStr">
        <is>
          <t>Inactive</t>
        </is>
      </c>
      <c r="O57" s="32" t="n"/>
      <c r="P57" s="64" t="n"/>
      <c r="Q57" s="63" t="n"/>
      <c r="R57" s="63" t="n"/>
      <c r="S57" s="63"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2" t="n"/>
      <c r="M58" s="63" t="n"/>
      <c r="N58" s="32" t="inlineStr">
        <is>
          <t>Inactive</t>
        </is>
      </c>
      <c r="O58" s="32" t="n"/>
      <c r="P58" s="64" t="n"/>
      <c r="Q58" s="63" t="n"/>
      <c r="R58" s="63" t="n"/>
      <c r="S58" s="63"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2" t="n"/>
      <c r="M59" s="63" t="n"/>
      <c r="N59" s="32" t="inlineStr">
        <is>
          <t>Inactive</t>
        </is>
      </c>
      <c r="O59" s="32" t="n"/>
      <c r="P59" s="64" t="n"/>
      <c r="Q59" s="63" t="n"/>
      <c r="R59" s="63" t="n"/>
      <c r="S59" s="63"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2" t="n"/>
      <c r="M60" s="63" t="n"/>
      <c r="N60" s="32" t="inlineStr">
        <is>
          <t>Inactive</t>
        </is>
      </c>
      <c r="O60" s="32" t="n"/>
      <c r="P60" s="64" t="n"/>
      <c r="Q60" s="63" t="n"/>
      <c r="R60" s="63" t="n"/>
      <c r="S60" s="63"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2" t="n"/>
      <c r="M61" s="63" t="n"/>
      <c r="N61" s="32" t="inlineStr">
        <is>
          <t>Inactive</t>
        </is>
      </c>
      <c r="O61" s="32" t="n"/>
      <c r="P61" s="64" t="n"/>
      <c r="Q61" s="63" t="n"/>
      <c r="R61" s="63" t="n"/>
      <c r="S61" s="63"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2" t="n"/>
      <c r="M62" s="63" t="n"/>
      <c r="N62" s="32" t="inlineStr">
        <is>
          <t>Inactive</t>
        </is>
      </c>
      <c r="O62" s="32" t="n"/>
      <c r="P62" s="64" t="n"/>
      <c r="Q62" s="63" t="n"/>
      <c r="R62" s="63" t="n"/>
      <c r="S62" s="63"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2" t="n"/>
      <c r="M63" s="63" t="n"/>
      <c r="N63" s="32" t="inlineStr">
        <is>
          <t>Inactive</t>
        </is>
      </c>
      <c r="O63" s="32" t="n"/>
      <c r="P63" s="64" t="n"/>
      <c r="Q63" s="63" t="n"/>
      <c r="R63" s="63" t="n"/>
      <c r="S63" s="63"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2" t="n"/>
      <c r="M64" s="63" t="n"/>
      <c r="N64" s="32" t="inlineStr">
        <is>
          <t>Inactive</t>
        </is>
      </c>
      <c r="O64" s="32" t="n"/>
      <c r="P64" s="64" t="n"/>
      <c r="Q64" s="63" t="n"/>
      <c r="R64" s="63" t="n"/>
      <c r="S64" s="63"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2" t="n"/>
      <c r="M65" s="63" t="n"/>
      <c r="N65" s="32" t="inlineStr">
        <is>
          <t>Inactive</t>
        </is>
      </c>
      <c r="O65" s="32" t="n"/>
      <c r="P65" s="64" t="n"/>
      <c r="Q65" s="63" t="n"/>
      <c r="R65" s="63" t="n"/>
      <c r="S65" s="63"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2" t="n"/>
      <c r="M66" s="63" t="n"/>
      <c r="N66" s="32" t="inlineStr">
        <is>
          <t>Inactive</t>
        </is>
      </c>
      <c r="O66" s="32" t="n"/>
      <c r="P66" s="64" t="n"/>
      <c r="Q66" s="63" t="n"/>
      <c r="R66" s="63" t="n"/>
      <c r="S66" s="63"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2" t="n"/>
      <c r="M67" s="63" t="n"/>
      <c r="N67" s="32" t="inlineStr">
        <is>
          <t>Inactive</t>
        </is>
      </c>
      <c r="O67" s="32" t="n"/>
      <c r="P67" s="64" t="n"/>
      <c r="Q67" s="63" t="n"/>
      <c r="R67" s="63" t="n"/>
      <c r="S67" s="63"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2" t="n"/>
      <c r="M68" s="63" t="n"/>
      <c r="N68" s="32" t="inlineStr">
        <is>
          <t>Inactive</t>
        </is>
      </c>
      <c r="O68" s="32" t="n"/>
      <c r="P68" s="64" t="n"/>
      <c r="Q68" s="63" t="n"/>
      <c r="R68" s="63" t="n"/>
      <c r="S68" s="63"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2" t="n"/>
      <c r="M69" s="63" t="n"/>
      <c r="N69" s="32" t="inlineStr">
        <is>
          <t>Inactive</t>
        </is>
      </c>
      <c r="O69" s="32" t="n"/>
      <c r="P69" s="64" t="n"/>
      <c r="Q69" s="63" t="n"/>
      <c r="R69" s="63" t="n"/>
      <c r="S69" s="63"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2" t="n"/>
      <c r="M70" s="63" t="n"/>
      <c r="N70" s="32" t="inlineStr">
        <is>
          <t>Inactive</t>
        </is>
      </c>
      <c r="O70" s="32" t="n"/>
      <c r="P70" s="64" t="n"/>
      <c r="Q70" s="63" t="n"/>
      <c r="R70" s="63" t="n"/>
      <c r="S70" s="63"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2" t="n"/>
      <c r="M71" s="63" t="n"/>
      <c r="N71" s="32" t="inlineStr">
        <is>
          <t>Inactive</t>
        </is>
      </c>
      <c r="O71" s="32" t="n"/>
      <c r="P71" s="64" t="n"/>
      <c r="Q71" s="63" t="n"/>
      <c r="R71" s="63" t="n"/>
      <c r="S71" s="63" t="n"/>
      <c r="T71" s="32" t="n"/>
    </row>
    <row r="73" ht="20" customHeight="1">
      <c r="A73" s="53" t="inlineStr">
        <is>
          <t>3 · OUR BFCM 2025 RESULT &amp; EVENT VISIBILITY</t>
        </is>
      </c>
    </row>
    <row r="74">
      <c r="A74" s="66" t="inlineStr">
        <is>
          <t>Window</t>
        </is>
      </c>
      <c r="B74" s="67" t="n"/>
      <c r="C74" s="68" t="n"/>
      <c r="D74" s="66" t="inlineStr">
        <is>
          <t>Ad spend</t>
        </is>
      </c>
      <c r="E74" s="66" t="inlineStr">
        <is>
          <t>Ad sales</t>
        </is>
      </c>
      <c r="F74" s="66" t="inlineStr">
        <is>
          <t>ACoS</t>
        </is>
      </c>
      <c r="G74" s="66" t="inlineStr">
        <is>
          <t>TACoS</t>
        </is>
      </c>
      <c r="H74" s="66" t="inlineStr">
        <is>
          <t>Total sales (derived)</t>
        </is>
      </c>
      <c r="J74" s="66" t="inlineStr">
        <is>
          <t>Ad orders</t>
        </is>
      </c>
      <c r="K74" s="66" t="inlineStr">
        <is>
          <t>CVR</t>
        </is>
      </c>
    </row>
    <row r="75">
      <c r="A75" s="69" t="inlineStr">
        <is>
          <t>Pre-event Oct 21 - Nov 19, 2025 (30d)</t>
        </is>
      </c>
      <c r="B75" s="67" t="n"/>
      <c r="C75" s="68" t="n"/>
      <c r="D75" s="70" t="n"/>
      <c r="E75" s="70" t="n"/>
      <c r="F75" s="71" t="n"/>
      <c r="G75" s="71" t="n"/>
      <c r="H75" s="70" t="n"/>
      <c r="J75" s="72" t="n"/>
      <c r="K75" s="73" t="n"/>
    </row>
    <row r="76">
      <c r="A76" s="69" t="inlineStr">
        <is>
          <t>BFCM week Nov 20 - Dec 1, 2025 (12d)</t>
        </is>
      </c>
      <c r="B76" s="67" t="n"/>
      <c r="C76" s="68" t="n"/>
      <c r="D76" s="70" t="n"/>
      <c r="E76" s="70" t="n"/>
      <c r="F76" s="71" t="n"/>
      <c r="G76" s="71" t="n"/>
      <c r="H76" s="70" t="n"/>
      <c r="J76" s="72" t="n"/>
      <c r="K76" s="73" t="n"/>
    </row>
    <row r="77">
      <c r="A77" s="69" t="inlineStr">
        <is>
          <t>December 2 - 31, 2025 (30d)</t>
        </is>
      </c>
      <c r="B77" s="67" t="n"/>
      <c r="C77" s="68" t="n"/>
      <c r="D77" s="70" t="n"/>
      <c r="E77" s="70" t="n"/>
      <c r="F77" s="71" t="n"/>
      <c r="G77" s="71" t="n"/>
      <c r="H77" s="70" t="n"/>
      <c r="J77" s="72" t="n"/>
      <c r="K77" s="73" t="n"/>
    </row>
    <row r="78" ht="18" customHeight="1">
      <c r="A78" s="110" t="inlineStr">
        <is>
          <t>BFCM 2026 plan (BM, Oct 15, 2026): NOT IN A DEAL. BM confirmed that products without a planned deal are not in any BFCM 2026 deal; they sell at their regular price.</t>
        </is>
      </c>
    </row>
    <row r="79">
      <c r="A79" s="58" t="inlineStr">
        <is>
          <t>No Command Center visibility history for our best child ASIN.</t>
        </is>
      </c>
    </row>
    <row r="80">
      <c r="A80" s="111" t="inlineStr">
        <is>
          <t>No BFCM 2025 PPC data for this product (not advertised or launched after BFCM 2025).</t>
        </is>
      </c>
    </row>
    <row r="82" ht="20" customHeight="1">
      <c r="A82" s="53" t="inlineStr">
        <is>
          <t>4 · COMPETITOR LANDSCAPE (6 mapped)</t>
        </is>
      </c>
    </row>
    <row r="83">
      <c r="A83" s="58"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3"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Satin Sheets 4 Piece  ·  Amazon.com (US)  ·  Satin  ·  BFCM role: Clearance with margin  ·  Scope: Core</t>
        </is>
      </c>
    </row>
    <row r="2">
      <c r="A2" s="52" t="inlineStr">
        <is>
          <t>← Dashboard</t>
        </is>
      </c>
    </row>
    <row r="3" ht="20" customHeight="1">
      <c r="A3" s="53"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4" t="inlineStr">
        <is>
          <t>Full, King, Queen, Twin</t>
        </is>
      </c>
      <c r="S4" s="11" t="inlineStr">
        <is>
          <t>Break-even ACoS</t>
        </is>
      </c>
      <c r="T4" s="54" t="inlineStr">
        <is>
          <t>34%</t>
        </is>
      </c>
    </row>
    <row r="5" ht="22" customHeight="1">
      <c r="C5" s="11" t="inlineStr">
        <is>
          <t>Brand</t>
        </is>
      </c>
      <c r="D5" s="54" t="inlineStr">
        <is>
          <t>Decolure</t>
        </is>
      </c>
      <c r="K5" s="11" t="inlineStr">
        <is>
          <t>Colours</t>
        </is>
      </c>
      <c r="L5" s="54"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4" t="inlineStr">
        <is>
          <t>2,620</t>
        </is>
      </c>
    </row>
    <row r="6" ht="22" customHeight="1">
      <c r="C6" s="11" t="inlineStr">
        <is>
          <t>Marketplace</t>
        </is>
      </c>
      <c r="D6" s="54" t="inlineStr">
        <is>
          <t>Amazon.com (US)</t>
        </is>
      </c>
      <c r="K6" s="11" t="inlineStr">
        <is>
          <t>Price now, best child</t>
        </is>
      </c>
      <c r="L6" s="54" t="inlineStr">
        <is>
          <t>$29.95 (Helium 10 Xray, 2026-10-13)</t>
        </is>
      </c>
      <c r="S6" s="11" t="inlineStr">
        <is>
          <t>Command Center product ASIN</t>
        </is>
      </c>
      <c r="T6" s="54" t="inlineStr">
        <is>
          <t>B0CQRY9WLD (one of our child ASINs, not the Amazon parent)</t>
        </is>
      </c>
    </row>
    <row r="7" ht="22" customHeight="1">
      <c r="C7" s="11" t="inlineStr">
        <is>
          <t>Parent ASIN (Amazon)</t>
        </is>
      </c>
      <c r="D7" s="54" t="inlineStr">
        <is>
          <t>B0H631FLT8</t>
        </is>
      </c>
      <c r="K7" s="11" t="inlineStr">
        <is>
          <t>Rating / reviews now</t>
        </is>
      </c>
      <c r="L7" s="54" t="inlineStr">
        <is>
          <t>4.4 / 18,632 (Helium 10 Xray, 2026-10-13)</t>
        </is>
      </c>
    </row>
    <row r="8" ht="22" customHeight="1">
      <c r="C8" s="11" t="inlineStr">
        <is>
          <t>Best-selling child ASIN</t>
        </is>
      </c>
      <c r="D8" s="54" t="inlineStr">
        <is>
          <t>B0839MKJMV</t>
        </is>
      </c>
      <c r="K8" s="11" t="inlineStr">
        <is>
          <t>Live prices held</t>
        </is>
      </c>
      <c r="L8" s="54" t="inlineStr">
        <is>
          <t>98 of 118 variations</t>
        </is>
      </c>
    </row>
    <row r="9" ht="22" customHeight="1">
      <c r="C9" s="11" t="inlineStr">
        <is>
          <t>Stage</t>
        </is>
      </c>
      <c r="D9" s="54" t="inlineStr">
        <is>
          <t>Maintenance</t>
        </is>
      </c>
      <c r="K9" s="11" t="inlineStr">
        <is>
          <t>Blended price (Command Center)</t>
        </is>
      </c>
      <c r="L9" s="54" t="inlineStr">
        <is>
          <t>$32.04 - fee feed as of 2026-03-30, STALE</t>
        </is>
      </c>
    </row>
    <row r="10">
      <c r="C10" s="11" t="inlineStr">
        <is>
          <t>Total variations (SKUs)</t>
        </is>
      </c>
      <c r="D10" s="54" t="n">
        <v>118</v>
      </c>
      <c r="K10" s="11" t="inlineStr">
        <is>
          <t>Contribution / unit</t>
        </is>
      </c>
      <c r="L10" s="54" t="inlineStr">
        <is>
          <t>$10.82</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2.64x</t>
        </is>
      </c>
      <c r="E12" s="56" t="inlineStr">
        <is>
          <t>4.9%</t>
        </is>
      </c>
      <c r="I12" s="56" t="inlineStr">
        <is>
          <t>1.93x</t>
        </is>
      </c>
      <c r="M12" s="56" t="inlineStr">
        <is>
          <t>26</t>
        </is>
      </c>
      <c r="Q12" s="56" t="inlineStr">
        <is>
          <t>26</t>
        </is>
      </c>
      <c r="U12" s="56" t="inlineStr">
        <is>
          <t>1</t>
        </is>
      </c>
    </row>
    <row r="13">
      <c r="A13" s="57" t="inlineStr">
        <is>
          <t>daily sales, BFCM wk vs 30 days before (SellerBoard actual)</t>
        </is>
      </c>
      <c r="E13" s="57" t="inlineStr">
        <is>
          <t>vs 10.4%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(118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59" t="n">
        <v>29.95</v>
      </c>
      <c r="H18" s="32" t="inlineStr">
        <is>
          <t>Helium 10 Xray, 2026-10-13</t>
        </is>
      </c>
      <c r="I18" s="60" t="n">
        <v>29.95</v>
      </c>
      <c r="J18" s="61" t="inlineStr">
        <is>
          <t>2026-03-30</t>
        </is>
      </c>
      <c r="K18" s="33" t="n">
        <v>9.350000000000001</v>
      </c>
      <c r="L18" s="62" t="n">
        <v>0.312186978297162</v>
      </c>
      <c r="M18" s="63" t="n">
        <v>438</v>
      </c>
      <c r="N18" s="32" t="inlineStr">
        <is>
          <t>Active</t>
        </is>
      </c>
      <c r="O18" s="32" t="inlineStr">
        <is>
          <t>Yes (42%)</t>
        </is>
      </c>
      <c r="P18" s="64" t="n">
        <v>4.4</v>
      </c>
      <c r="Q18" s="63" t="n">
        <v>18632</v>
      </c>
      <c r="R18" s="63" t="n">
        <v>10009</v>
      </c>
      <c r="S18" s="63"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59" t="n">
        <v>29.95</v>
      </c>
      <c r="H19" s="32" t="inlineStr">
        <is>
          <t>Helium 10 Xray, 2026-10-13</t>
        </is>
      </c>
      <c r="I19" s="60" t="n">
        <v>29.95</v>
      </c>
      <c r="J19" s="61" t="inlineStr">
        <is>
          <t>2026-03-30</t>
        </is>
      </c>
      <c r="K19" s="33" t="n">
        <v>10.81</v>
      </c>
      <c r="L19" s="62" t="n">
        <v>0.3609348914858097</v>
      </c>
      <c r="M19" s="63" t="n">
        <v>220</v>
      </c>
      <c r="N19" s="32" t="inlineStr">
        <is>
          <t>Active</t>
        </is>
      </c>
      <c r="O19" s="32" t="inlineStr">
        <is>
          <t>Yes (19%)</t>
        </is>
      </c>
      <c r="P19" s="64" t="n">
        <v>4.4</v>
      </c>
      <c r="Q19" s="63" t="n">
        <v>18632</v>
      </c>
      <c r="R19" s="63" t="n">
        <v>10009</v>
      </c>
      <c r="S19" s="63"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59" t="n">
        <v>33.95</v>
      </c>
      <c r="H20" s="32" t="inlineStr">
        <is>
          <t>Helium 10 Xray, 2026-10-13</t>
        </is>
      </c>
      <c r="I20" s="60" t="n">
        <v>33.95</v>
      </c>
      <c r="J20" s="61" t="inlineStr">
        <is>
          <t>2026-03-30</t>
        </is>
      </c>
      <c r="K20" s="33" t="n">
        <v>10.95</v>
      </c>
      <c r="L20" s="62" t="n">
        <v>0.3225331369661267</v>
      </c>
      <c r="M20" s="63" t="n">
        <v>159</v>
      </c>
      <c r="N20" s="32" t="inlineStr">
        <is>
          <t>Active</t>
        </is>
      </c>
      <c r="O20" s="32" t="inlineStr">
        <is>
          <t>Yes (4%)</t>
        </is>
      </c>
      <c r="P20" s="64" t="n">
        <v>4.4</v>
      </c>
      <c r="Q20" s="63" t="n">
        <v>18632</v>
      </c>
      <c r="R20" s="63" t="n">
        <v>10009</v>
      </c>
      <c r="S20" s="63"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59" t="n">
        <v>29.95</v>
      </c>
      <c r="H21" s="32" t="inlineStr">
        <is>
          <t>Helium 10 Xray, 2026-10-13</t>
        </is>
      </c>
      <c r="I21" s="60" t="n">
        <v>29.95</v>
      </c>
      <c r="J21" s="61" t="inlineStr">
        <is>
          <t>2026-03-30</t>
        </is>
      </c>
      <c r="K21" s="33" t="n">
        <v>8.890000000000001</v>
      </c>
      <c r="L21" s="62" t="n">
        <v>0.2968280467445743</v>
      </c>
      <c r="M21" s="63" t="n">
        <v>96</v>
      </c>
      <c r="N21" s="32" t="inlineStr">
        <is>
          <t>Active</t>
        </is>
      </c>
      <c r="O21" s="32" t="inlineStr">
        <is>
          <t>Yes (11%)</t>
        </is>
      </c>
      <c r="P21" s="64" t="n">
        <v>4.4</v>
      </c>
      <c r="Q21" s="63" t="n">
        <v>18632</v>
      </c>
      <c r="R21" s="63" t="n">
        <v>10006</v>
      </c>
      <c r="S21" s="63"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59" t="n">
        <v>33.95</v>
      </c>
      <c r="H22" s="32" t="inlineStr">
        <is>
          <t>Helium 10 Xray, 2026-10-13</t>
        </is>
      </c>
      <c r="I22" s="60" t="n">
        <v>33.95</v>
      </c>
      <c r="J22" s="61" t="inlineStr">
        <is>
          <t>2026-03-30</t>
        </is>
      </c>
      <c r="K22" s="33" t="n">
        <v>10.4</v>
      </c>
      <c r="L22" s="62" t="n">
        <v>0.3063328424153167</v>
      </c>
      <c r="M22" s="63" t="n">
        <v>79</v>
      </c>
      <c r="N22" s="32" t="inlineStr">
        <is>
          <t>Active</t>
        </is>
      </c>
      <c r="O22" s="32" t="n"/>
      <c r="P22" s="64" t="n">
        <v>4.4</v>
      </c>
      <c r="Q22" s="63" t="n">
        <v>18632</v>
      </c>
      <c r="R22" s="63" t="n">
        <v>10009</v>
      </c>
      <c r="S22" s="63"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59" t="n">
        <v>31.95</v>
      </c>
      <c r="H23" s="32" t="inlineStr">
        <is>
          <t>Helium 10 Xray, 2026-10-13</t>
        </is>
      </c>
      <c r="I23" s="60" t="n">
        <v>31.95</v>
      </c>
      <c r="J23" s="61" t="inlineStr">
        <is>
          <t>2026-03-30</t>
        </is>
      </c>
      <c r="K23" s="33" t="n">
        <v>10.33</v>
      </c>
      <c r="L23" s="62" t="n">
        <v>0.3233176838810642</v>
      </c>
      <c r="M23" s="63" t="n">
        <v>69</v>
      </c>
      <c r="N23" s="32" t="inlineStr">
        <is>
          <t>Active</t>
        </is>
      </c>
      <c r="O23" s="32" t="inlineStr">
        <is>
          <t>Yes (5%)</t>
        </is>
      </c>
      <c r="P23" s="64" t="n">
        <v>4.4</v>
      </c>
      <c r="Q23" s="63" t="n">
        <v>18632</v>
      </c>
      <c r="R23" s="63" t="n">
        <v>10006</v>
      </c>
      <c r="S23" s="63"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59" t="n">
        <v>33.95</v>
      </c>
      <c r="H24" s="32" t="inlineStr">
        <is>
          <t>Helium 10 Xray, 2026-10-13</t>
        </is>
      </c>
      <c r="I24" s="60" t="n">
        <v>33.95</v>
      </c>
      <c r="J24" s="61" t="inlineStr">
        <is>
          <t>2026-03-30</t>
        </is>
      </c>
      <c r="K24" s="33" t="n">
        <v>11.4</v>
      </c>
      <c r="L24" s="62" t="n">
        <v>0.3357879234167894</v>
      </c>
      <c r="M24" s="63" t="n">
        <v>67</v>
      </c>
      <c r="N24" s="32" t="inlineStr">
        <is>
          <t>Active</t>
        </is>
      </c>
      <c r="O24" s="32" t="n"/>
      <c r="P24" s="64" t="n">
        <v>4.4</v>
      </c>
      <c r="Q24" s="63" t="n">
        <v>18632</v>
      </c>
      <c r="R24" s="63" t="n">
        <v>10006</v>
      </c>
      <c r="S24" s="63"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59" t="n">
        <v>31.95</v>
      </c>
      <c r="H25" s="32" t="inlineStr">
        <is>
          <t>Helium 10 Xray, 2026-10-13</t>
        </is>
      </c>
      <c r="I25" s="60" t="n">
        <v>31.95</v>
      </c>
      <c r="J25" s="61" t="inlineStr">
        <is>
          <t>2026-03-30</t>
        </is>
      </c>
      <c r="K25" s="33" t="n">
        <v>10.43</v>
      </c>
      <c r="L25" s="62" t="n">
        <v>0.3264475743348983</v>
      </c>
      <c r="M25" s="63" t="n">
        <v>50</v>
      </c>
      <c r="N25" s="32" t="inlineStr">
        <is>
          <t>Active</t>
        </is>
      </c>
      <c r="O25" s="32" t="n"/>
      <c r="P25" s="64" t="n">
        <v>4.4</v>
      </c>
      <c r="Q25" s="63" t="n">
        <v>18632</v>
      </c>
      <c r="R25" s="63" t="n">
        <v>10009</v>
      </c>
      <c r="S25" s="63"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59" t="n">
        <v>33.95</v>
      </c>
      <c r="H26" s="32" t="inlineStr">
        <is>
          <t>Helium 10 Xray, 2026-10-13</t>
        </is>
      </c>
      <c r="I26" s="60" t="n">
        <v>33.95</v>
      </c>
      <c r="J26" s="61" t="inlineStr">
        <is>
          <t>2026-03-30</t>
        </is>
      </c>
      <c r="K26" s="33" t="n">
        <v>11.09</v>
      </c>
      <c r="L26" s="62" t="n">
        <v>0.3266568483063329</v>
      </c>
      <c r="M26" s="63" t="n">
        <v>49</v>
      </c>
      <c r="N26" s="32" t="inlineStr">
        <is>
          <t>Active</t>
        </is>
      </c>
      <c r="O26" s="32" t="n"/>
      <c r="P26" s="64" t="n">
        <v>4.4</v>
      </c>
      <c r="Q26" s="63" t="n">
        <v>18632</v>
      </c>
      <c r="R26" s="63" t="n">
        <v>10006</v>
      </c>
      <c r="S26" s="63"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59" t="n">
        <v>37.99</v>
      </c>
      <c r="H27" s="32" t="inlineStr">
        <is>
          <t>Helium 10 Xray, 2026-10-13</t>
        </is>
      </c>
      <c r="I27" s="60" t="n">
        <v>33.95</v>
      </c>
      <c r="J27" s="61" t="inlineStr">
        <is>
          <t>2026-03-30</t>
        </is>
      </c>
      <c r="K27" s="33" t="n">
        <v>11</v>
      </c>
      <c r="L27" s="62" t="n">
        <v>0.3240058910162003</v>
      </c>
      <c r="M27" s="63" t="n">
        <v>46</v>
      </c>
      <c r="N27" s="32" t="inlineStr">
        <is>
          <t>Active</t>
        </is>
      </c>
      <c r="O27" s="32" t="n"/>
      <c r="P27" s="64" t="n">
        <v>4.4</v>
      </c>
      <c r="Q27" s="63" t="n">
        <v>18632</v>
      </c>
      <c r="R27" s="63" t="n">
        <v>10009</v>
      </c>
      <c r="S27" s="63"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59" t="n">
        <v>34.95</v>
      </c>
      <c r="H28" s="32" t="inlineStr">
        <is>
          <t>Helium 10 Xray, 2026-10-13</t>
        </is>
      </c>
      <c r="I28" s="60" t="n">
        <v>31.95</v>
      </c>
      <c r="J28" s="61" t="inlineStr">
        <is>
          <t>2026-03-30</t>
        </is>
      </c>
      <c r="K28" s="33" t="n">
        <v>11.51</v>
      </c>
      <c r="L28" s="62" t="n">
        <v>0.3602503912363068</v>
      </c>
      <c r="M28" s="63" t="n">
        <v>45</v>
      </c>
      <c r="N28" s="32" t="inlineStr">
        <is>
          <t>Active</t>
        </is>
      </c>
      <c r="O28" s="32" t="n"/>
      <c r="P28" s="64" t="n">
        <v>4.4</v>
      </c>
      <c r="Q28" s="63" t="n">
        <v>18632</v>
      </c>
      <c r="R28" s="63" t="n">
        <v>10006</v>
      </c>
      <c r="S28" s="63"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59" t="n">
        <v>31.95</v>
      </c>
      <c r="H29" s="32" t="inlineStr">
        <is>
          <t>Helium 10 Xray, 2026-10-13</t>
        </is>
      </c>
      <c r="I29" s="60" t="n">
        <v>31.95</v>
      </c>
      <c r="J29" s="61" t="inlineStr">
        <is>
          <t>2026-03-30</t>
        </is>
      </c>
      <c r="K29" s="33" t="n">
        <v>10.6</v>
      </c>
      <c r="L29" s="62" t="n">
        <v>0.3317683881064163</v>
      </c>
      <c r="M29" s="63" t="n">
        <v>45</v>
      </c>
      <c r="N29" s="32" t="inlineStr">
        <is>
          <t>Active</t>
        </is>
      </c>
      <c r="O29" s="32" t="n"/>
      <c r="P29" s="64" t="n">
        <v>4.4</v>
      </c>
      <c r="Q29" s="63" t="n">
        <v>18632</v>
      </c>
      <c r="R29" s="63" t="n">
        <v>10009</v>
      </c>
      <c r="S29" s="63"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0" t="n">
        <v>48.95</v>
      </c>
      <c r="J30" s="61" t="inlineStr">
        <is>
          <t>2026-03-30</t>
        </is>
      </c>
      <c r="K30" s="33" t="n">
        <v>25.36</v>
      </c>
      <c r="L30" s="62" t="n">
        <v>0.5180796731358529</v>
      </c>
      <c r="M30" s="63" t="n">
        <v>45</v>
      </c>
      <c r="N30" s="32" t="inlineStr">
        <is>
          <t>Inactive</t>
        </is>
      </c>
      <c r="O30" s="32" t="n"/>
      <c r="P30" s="64" t="n"/>
      <c r="Q30" s="63" t="n"/>
      <c r="R30" s="63" t="n"/>
      <c r="S30" s="63"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59" t="n">
        <v>31.95</v>
      </c>
      <c r="H31" s="32" t="inlineStr">
        <is>
          <t>Helium 10 Xray, 2026-10-13</t>
        </is>
      </c>
      <c r="I31" s="60" t="n">
        <v>31.95</v>
      </c>
      <c r="J31" s="61" t="inlineStr">
        <is>
          <t>2026-03-30</t>
        </is>
      </c>
      <c r="K31" s="33" t="n">
        <v>10.55</v>
      </c>
      <c r="L31" s="62" t="n">
        <v>0.3302034428794993</v>
      </c>
      <c r="M31" s="63" t="n">
        <v>43</v>
      </c>
      <c r="N31" s="32" t="inlineStr">
        <is>
          <t>Active</t>
        </is>
      </c>
      <c r="O31" s="32" t="n"/>
      <c r="P31" s="64" t="n">
        <v>4.4</v>
      </c>
      <c r="Q31" s="63" t="n">
        <v>18632</v>
      </c>
      <c r="R31" s="63" t="n">
        <v>10009</v>
      </c>
      <c r="S31" s="63"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59" t="n">
        <v>34.49</v>
      </c>
      <c r="H32" s="32" t="inlineStr">
        <is>
          <t>Helium 10 Xray, 2026-10-13</t>
        </is>
      </c>
      <c r="I32" s="60" t="n">
        <v>31.95</v>
      </c>
      <c r="J32" s="61" t="inlineStr">
        <is>
          <t>2026-03-30</t>
        </is>
      </c>
      <c r="K32" s="33" t="n">
        <v>10.73</v>
      </c>
      <c r="L32" s="62" t="n">
        <v>0.3358372456964007</v>
      </c>
      <c r="M32" s="63" t="n">
        <v>43</v>
      </c>
      <c r="N32" s="32" t="inlineStr">
        <is>
          <t>Active</t>
        </is>
      </c>
      <c r="O32" s="32" t="n"/>
      <c r="P32" s="64" t="n">
        <v>4.4</v>
      </c>
      <c r="Q32" s="63" t="n">
        <v>18632</v>
      </c>
      <c r="R32" s="63" t="n">
        <v>10009</v>
      </c>
      <c r="S32" s="63"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59" t="n">
        <v>35.95</v>
      </c>
      <c r="H33" s="32" t="inlineStr">
        <is>
          <t>Helium 10 Xray, 2026-10-13</t>
        </is>
      </c>
      <c r="I33" s="60" t="n">
        <v>33.95</v>
      </c>
      <c r="J33" s="61" t="inlineStr">
        <is>
          <t>2026-03-30</t>
        </is>
      </c>
      <c r="K33" s="33" t="n">
        <v>8.710000000000003</v>
      </c>
      <c r="L33" s="62" t="n">
        <v>0.2565537555228277</v>
      </c>
      <c r="M33" s="63" t="n">
        <v>41</v>
      </c>
      <c r="N33" s="32" t="inlineStr">
        <is>
          <t>Active</t>
        </is>
      </c>
      <c r="O33" s="32" t="n"/>
      <c r="P33" s="64" t="n">
        <v>4.4</v>
      </c>
      <c r="Q33" s="63" t="n">
        <v>18632</v>
      </c>
      <c r="R33" s="63" t="n">
        <v>10009</v>
      </c>
      <c r="S33" s="63"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59" t="n">
        <v>32.99</v>
      </c>
      <c r="H34" s="32" t="inlineStr">
        <is>
          <t>Helium 10 Xray, 2026-10-13</t>
        </is>
      </c>
      <c r="I34" s="60" t="n">
        <v>31.95</v>
      </c>
      <c r="J34" s="61" t="inlineStr">
        <is>
          <t>2026-03-30</t>
        </is>
      </c>
      <c r="K34" s="33" t="n">
        <v>10.83</v>
      </c>
      <c r="L34" s="62" t="n">
        <v>0.3389671361502348</v>
      </c>
      <c r="M34" s="63" t="n">
        <v>40</v>
      </c>
      <c r="N34" s="32" t="inlineStr">
        <is>
          <t>Active</t>
        </is>
      </c>
      <c r="O34" s="32" t="n"/>
      <c r="P34" s="64" t="n">
        <v>4.4</v>
      </c>
      <c r="Q34" s="63" t="n">
        <v>18632</v>
      </c>
      <c r="R34" s="63" t="n">
        <v>10006</v>
      </c>
      <c r="S34" s="63"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59" t="n">
        <v>33.95</v>
      </c>
      <c r="H35" s="32" t="inlineStr">
        <is>
          <t>Helium 10 Xray, 2026-10-13</t>
        </is>
      </c>
      <c r="I35" s="60" t="n">
        <v>33.95</v>
      </c>
      <c r="J35" s="61" t="inlineStr">
        <is>
          <t>2026-03-30</t>
        </is>
      </c>
      <c r="K35" s="33" t="n">
        <v>10.92</v>
      </c>
      <c r="L35" s="62" t="n">
        <v>0.3216494845360824</v>
      </c>
      <c r="M35" s="63" t="n">
        <v>38</v>
      </c>
      <c r="N35" s="32" t="inlineStr">
        <is>
          <t>Active</t>
        </is>
      </c>
      <c r="O35" s="32" t="n"/>
      <c r="P35" s="64" t="n">
        <v>4.4</v>
      </c>
      <c r="Q35" s="63" t="n">
        <v>18632</v>
      </c>
      <c r="R35" s="63" t="n">
        <v>10006</v>
      </c>
      <c r="S35" s="63"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59" t="n">
        <v>31.95</v>
      </c>
      <c r="H36" s="32" t="inlineStr">
        <is>
          <t>Helium 10 Xray, 2026-10-13</t>
        </is>
      </c>
      <c r="I36" s="60" t="n">
        <v>31.95</v>
      </c>
      <c r="J36" s="61" t="inlineStr">
        <is>
          <t>2026-03-30</t>
        </is>
      </c>
      <c r="K36" s="33" t="n">
        <v>11.07</v>
      </c>
      <c r="L36" s="62" t="n">
        <v>0.3464788732394367</v>
      </c>
      <c r="M36" s="63" t="n">
        <v>37</v>
      </c>
      <c r="N36" s="32" t="inlineStr">
        <is>
          <t>Active</t>
        </is>
      </c>
      <c r="O36" s="32" t="n"/>
      <c r="P36" s="64" t="n">
        <v>4.4</v>
      </c>
      <c r="Q36" s="63" t="n">
        <v>18632</v>
      </c>
      <c r="R36" s="63" t="n">
        <v>10006</v>
      </c>
      <c r="S36" s="63"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59" t="n">
        <v>27.95</v>
      </c>
      <c r="H37" s="32" t="inlineStr">
        <is>
          <t>Helium 10 Xray, 2026-10-13</t>
        </is>
      </c>
      <c r="I37" s="60" t="n">
        <v>27.95</v>
      </c>
      <c r="J37" s="61" t="inlineStr">
        <is>
          <t>2026-03-30</t>
        </is>
      </c>
      <c r="K37" s="33" t="n">
        <v>10.6</v>
      </c>
      <c r="L37" s="62" t="n">
        <v>0.3792486583184257</v>
      </c>
      <c r="M37" s="63" t="n">
        <v>37</v>
      </c>
      <c r="N37" s="32" t="inlineStr">
        <is>
          <t>Active</t>
        </is>
      </c>
      <c r="O37" s="32" t="n"/>
      <c r="P37" s="64" t="n">
        <v>4.4</v>
      </c>
      <c r="Q37" s="63" t="n">
        <v>18632</v>
      </c>
      <c r="R37" s="63" t="n">
        <v>10009</v>
      </c>
      <c r="S37" s="63"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59" t="n">
        <v>29.95</v>
      </c>
      <c r="H38" s="32" t="inlineStr">
        <is>
          <t>Helium 10 Xray, 2026-10-13</t>
        </is>
      </c>
      <c r="I38" s="60" t="n">
        <v>29.95</v>
      </c>
      <c r="J38" s="61" t="inlineStr">
        <is>
          <t>2026-03-30</t>
        </is>
      </c>
      <c r="K38" s="33" t="n">
        <v>10.57</v>
      </c>
      <c r="L38" s="62" t="n">
        <v>0.3529215358931552</v>
      </c>
      <c r="M38" s="63" t="n">
        <v>33</v>
      </c>
      <c r="N38" s="32" t="inlineStr">
        <is>
          <t>Active</t>
        </is>
      </c>
      <c r="O38" s="32" t="n"/>
      <c r="P38" s="64" t="n">
        <v>4.4</v>
      </c>
      <c r="Q38" s="63" t="n">
        <v>18632</v>
      </c>
      <c r="R38" s="63" t="n">
        <v>10009</v>
      </c>
      <c r="S38" s="63"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59" t="n">
        <v>31.95</v>
      </c>
      <c r="H39" s="32" t="inlineStr">
        <is>
          <t>Helium 10 Xray, 2026-10-13</t>
        </is>
      </c>
      <c r="I39" s="60" t="n">
        <v>31.95</v>
      </c>
      <c r="J39" s="61" t="inlineStr">
        <is>
          <t>2026-03-30</t>
        </is>
      </c>
      <c r="K39" s="33" t="n">
        <v>10.54</v>
      </c>
      <c r="L39" s="62" t="n">
        <v>0.3298904538341158</v>
      </c>
      <c r="M39" s="63" t="n">
        <v>33</v>
      </c>
      <c r="N39" s="32" t="inlineStr">
        <is>
          <t>Active</t>
        </is>
      </c>
      <c r="O39" s="32" t="n"/>
      <c r="P39" s="64" t="n">
        <v>4.4</v>
      </c>
      <c r="Q39" s="63" t="n">
        <v>18632</v>
      </c>
      <c r="R39" s="63" t="n">
        <v>10009</v>
      </c>
      <c r="S39" s="63"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59" t="n">
        <v>36.49</v>
      </c>
      <c r="H40" s="32" t="inlineStr">
        <is>
          <t>Helium 10 Xray, 2026-10-13</t>
        </is>
      </c>
      <c r="I40" s="60" t="n">
        <v>33.95</v>
      </c>
      <c r="J40" s="61" t="inlineStr">
        <is>
          <t>2026-03-30</t>
        </is>
      </c>
      <c r="K40" s="33" t="n">
        <v>11.1</v>
      </c>
      <c r="L40" s="62" t="n">
        <v>0.3269513991163476</v>
      </c>
      <c r="M40" s="63" t="n">
        <v>32</v>
      </c>
      <c r="N40" s="32" t="inlineStr">
        <is>
          <t>Active</t>
        </is>
      </c>
      <c r="O40" s="32" t="n"/>
      <c r="P40" s="64" t="n">
        <v>4.4</v>
      </c>
      <c r="Q40" s="63" t="n">
        <v>18632</v>
      </c>
      <c r="R40" s="63" t="n">
        <v>10009</v>
      </c>
      <c r="S40" s="63"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59" t="n">
        <v>31.95</v>
      </c>
      <c r="H41" s="32" t="inlineStr">
        <is>
          <t>Helium 10 Xray, 2026-10-13</t>
        </is>
      </c>
      <c r="I41" s="60" t="n">
        <v>31.95</v>
      </c>
      <c r="J41" s="61" t="inlineStr">
        <is>
          <t>2026-03-30</t>
        </is>
      </c>
      <c r="K41" s="33" t="n">
        <v>11</v>
      </c>
      <c r="L41" s="62" t="n">
        <v>0.3442879499217528</v>
      </c>
      <c r="M41" s="63" t="n">
        <v>29</v>
      </c>
      <c r="N41" s="32" t="inlineStr">
        <is>
          <t>Active</t>
        </is>
      </c>
      <c r="O41" s="32" t="n"/>
      <c r="P41" s="64" t="n">
        <v>4.4</v>
      </c>
      <c r="Q41" s="63" t="n">
        <v>18632</v>
      </c>
      <c r="R41" s="63" t="n">
        <v>10006</v>
      </c>
      <c r="S41" s="63"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0" t="n">
        <v>31.95</v>
      </c>
      <c r="J42" s="61" t="inlineStr">
        <is>
          <t>2026-03-28</t>
        </is>
      </c>
      <c r="K42" s="33" t="n">
        <v>10.85</v>
      </c>
      <c r="L42" s="62" t="n">
        <v>0.3395931142410016</v>
      </c>
      <c r="M42" s="63" t="n">
        <v>28</v>
      </c>
      <c r="N42" s="32" t="inlineStr">
        <is>
          <t>Inactive</t>
        </is>
      </c>
      <c r="O42" s="32" t="n"/>
      <c r="P42" s="64" t="n"/>
      <c r="Q42" s="63" t="n"/>
      <c r="R42" s="63" t="n"/>
      <c r="S42" s="63"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59" t="n">
        <v>31.95</v>
      </c>
      <c r="H43" s="32" t="inlineStr">
        <is>
          <t>Helium 10 Xray, 2026-10-13</t>
        </is>
      </c>
      <c r="I43" s="60" t="n">
        <v>31.95</v>
      </c>
      <c r="J43" s="61" t="inlineStr">
        <is>
          <t>2026-03-30</t>
        </is>
      </c>
      <c r="K43" s="33" t="n">
        <v>10.53</v>
      </c>
      <c r="L43" s="62" t="n">
        <v>0.3295774647887324</v>
      </c>
      <c r="M43" s="63" t="n">
        <v>28</v>
      </c>
      <c r="N43" s="32" t="inlineStr">
        <is>
          <t>Active</t>
        </is>
      </c>
      <c r="O43" s="32" t="n"/>
      <c r="P43" s="64" t="n">
        <v>4.4</v>
      </c>
      <c r="Q43" s="63" t="n">
        <v>18632</v>
      </c>
      <c r="R43" s="63" t="n">
        <v>10006</v>
      </c>
      <c r="S43" s="63"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59" t="n">
        <v>37.99</v>
      </c>
      <c r="H44" s="32" t="inlineStr">
        <is>
          <t>Helium 10 Xray, 2026-10-13</t>
        </is>
      </c>
      <c r="I44" s="60" t="n">
        <v>33.95</v>
      </c>
      <c r="J44" s="61" t="inlineStr">
        <is>
          <t>2026-03-30</t>
        </is>
      </c>
      <c r="K44" s="33" t="n">
        <v>11.02</v>
      </c>
      <c r="L44" s="62" t="n">
        <v>0.3245949926362298</v>
      </c>
      <c r="M44" s="63" t="n">
        <v>27</v>
      </c>
      <c r="N44" s="32" t="inlineStr">
        <is>
          <t>Active</t>
        </is>
      </c>
      <c r="O44" s="32" t="n"/>
      <c r="P44" s="64" t="n">
        <v>4.4</v>
      </c>
      <c r="Q44" s="63" t="n">
        <v>18632</v>
      </c>
      <c r="R44" s="63" t="n">
        <v>10009</v>
      </c>
      <c r="S44" s="63"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59" t="n">
        <v>35.95</v>
      </c>
      <c r="H45" s="32" t="inlineStr">
        <is>
          <t>Helium 10 Xray, 2026-10-13</t>
        </is>
      </c>
      <c r="I45" s="60" t="n">
        <v>31.95</v>
      </c>
      <c r="J45" s="61" t="inlineStr">
        <is>
          <t>2026-03-30</t>
        </is>
      </c>
      <c r="K45" s="33" t="n">
        <v>10.86</v>
      </c>
      <c r="L45" s="62" t="n">
        <v>0.339906103286385</v>
      </c>
      <c r="M45" s="63" t="n">
        <v>26</v>
      </c>
      <c r="N45" s="32" t="inlineStr">
        <is>
          <t>Active</t>
        </is>
      </c>
      <c r="O45" s="32" t="n"/>
      <c r="P45" s="64" t="n">
        <v>4.4</v>
      </c>
      <c r="Q45" s="63" t="n">
        <v>18632</v>
      </c>
      <c r="R45" s="63" t="n">
        <v>10009</v>
      </c>
      <c r="S45" s="63"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59" t="n">
        <v>29.95</v>
      </c>
      <c r="H46" s="32" t="inlineStr">
        <is>
          <t>Helium 10 Xray, 2026-10-13</t>
        </is>
      </c>
      <c r="I46" s="60" t="n">
        <v>29.95</v>
      </c>
      <c r="J46" s="61" t="inlineStr">
        <is>
          <t>2026-03-30</t>
        </is>
      </c>
      <c r="K46" s="33" t="n">
        <v>9.84</v>
      </c>
      <c r="L46" s="62" t="n">
        <v>0.3285475792988313</v>
      </c>
      <c r="M46" s="63" t="n">
        <v>25</v>
      </c>
      <c r="N46" s="32" t="inlineStr">
        <is>
          <t>Active</t>
        </is>
      </c>
      <c r="O46" s="32" t="n"/>
      <c r="P46" s="64" t="n">
        <v>4.4</v>
      </c>
      <c r="Q46" s="63" t="n">
        <v>18632</v>
      </c>
      <c r="R46" s="63" t="n">
        <v>10009</v>
      </c>
      <c r="S46" s="63"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59" t="n">
        <v>36.95</v>
      </c>
      <c r="H47" s="32" t="inlineStr">
        <is>
          <t>Helium 10 Xray, 2026-10-13</t>
        </is>
      </c>
      <c r="I47" s="60" t="n">
        <v>33.95</v>
      </c>
      <c r="J47" s="61" t="inlineStr">
        <is>
          <t>2026-03-30</t>
        </is>
      </c>
      <c r="K47" s="33" t="n">
        <v>10.47</v>
      </c>
      <c r="L47" s="62" t="n">
        <v>0.3083946980854198</v>
      </c>
      <c r="M47" s="63" t="n">
        <v>24</v>
      </c>
      <c r="N47" s="32" t="inlineStr">
        <is>
          <t>Active</t>
        </is>
      </c>
      <c r="O47" s="32" t="n"/>
      <c r="P47" s="64" t="n">
        <v>4.4</v>
      </c>
      <c r="Q47" s="63" t="n">
        <v>18632</v>
      </c>
      <c r="R47" s="63" t="n">
        <v>10006</v>
      </c>
      <c r="S47" s="63"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59" t="n">
        <v>29.95</v>
      </c>
      <c r="H48" s="32" t="inlineStr">
        <is>
          <t>Helium 10 Xray, 2026-10-13</t>
        </is>
      </c>
      <c r="I48" s="60" t="n">
        <v>29.95</v>
      </c>
      <c r="J48" s="61" t="inlineStr">
        <is>
          <t>2026-03-30</t>
        </is>
      </c>
      <c r="K48" s="33" t="n">
        <v>11.26</v>
      </c>
      <c r="L48" s="62" t="n">
        <v>0.3759599332220367</v>
      </c>
      <c r="M48" s="63" t="n">
        <v>23</v>
      </c>
      <c r="N48" s="32" t="inlineStr">
        <is>
          <t>Active</t>
        </is>
      </c>
      <c r="O48" s="32" t="n"/>
      <c r="P48" s="64" t="n">
        <v>4.4</v>
      </c>
      <c r="Q48" s="63" t="n">
        <v>18632</v>
      </c>
      <c r="R48" s="63" t="n">
        <v>10006</v>
      </c>
      <c r="S48" s="63"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59" t="n">
        <v>33.95</v>
      </c>
      <c r="H49" s="32" t="inlineStr">
        <is>
          <t>Helium 10 Xray, 2026-10-13</t>
        </is>
      </c>
      <c r="I49" s="60" t="n">
        <v>33.95</v>
      </c>
      <c r="J49" s="61" t="inlineStr">
        <is>
          <t>2026-03-30</t>
        </is>
      </c>
      <c r="K49" s="33" t="n">
        <v>10.71</v>
      </c>
      <c r="L49" s="62" t="n">
        <v>0.3154639175257732</v>
      </c>
      <c r="M49" s="63" t="n">
        <v>23</v>
      </c>
      <c r="N49" s="32" t="inlineStr">
        <is>
          <t>Active</t>
        </is>
      </c>
      <c r="O49" s="32" t="n"/>
      <c r="P49" s="64" t="n">
        <v>4.4</v>
      </c>
      <c r="Q49" s="63" t="n">
        <v>18632</v>
      </c>
      <c r="R49" s="63" t="n">
        <v>10009</v>
      </c>
      <c r="S49" s="63"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59" t="n">
        <v>33.95</v>
      </c>
      <c r="H50" s="32" t="inlineStr">
        <is>
          <t>Helium 10 Xray, 2026-10-13</t>
        </is>
      </c>
      <c r="I50" s="60" t="n">
        <v>33.95</v>
      </c>
      <c r="J50" s="61" t="inlineStr">
        <is>
          <t>2026-03-30</t>
        </is>
      </c>
      <c r="K50" s="33" t="n">
        <v>10.46</v>
      </c>
      <c r="L50" s="62" t="n">
        <v>0.3081001472754051</v>
      </c>
      <c r="M50" s="63" t="n">
        <v>23</v>
      </c>
      <c r="N50" s="32" t="inlineStr">
        <is>
          <t>Active</t>
        </is>
      </c>
      <c r="O50" s="32" t="n"/>
      <c r="P50" s="64" t="n">
        <v>4.4</v>
      </c>
      <c r="Q50" s="63" t="n">
        <v>18632</v>
      </c>
      <c r="R50" s="63" t="n">
        <v>10009</v>
      </c>
      <c r="S50" s="63"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59" t="n">
        <v>31.95</v>
      </c>
      <c r="H51" s="32" t="inlineStr">
        <is>
          <t>Helium 10 Xray, 2026-10-13</t>
        </is>
      </c>
      <c r="I51" s="60" t="n">
        <v>31.95</v>
      </c>
      <c r="J51" s="61" t="inlineStr">
        <is>
          <t>2026-03-30</t>
        </is>
      </c>
      <c r="K51" s="33" t="n">
        <v>10.99</v>
      </c>
      <c r="L51" s="62" t="n">
        <v>0.3439749608763694</v>
      </c>
      <c r="M51" s="63" t="n">
        <v>22</v>
      </c>
      <c r="N51" s="32" t="inlineStr">
        <is>
          <t>Active</t>
        </is>
      </c>
      <c r="O51" s="32" t="n"/>
      <c r="P51" s="64" t="n">
        <v>4.4</v>
      </c>
      <c r="Q51" s="63" t="n">
        <v>18632</v>
      </c>
      <c r="R51" s="63" t="n">
        <v>10006</v>
      </c>
      <c r="S51" s="63"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59" t="n">
        <v>29.95</v>
      </c>
      <c r="H52" s="32" t="inlineStr">
        <is>
          <t>Helium 10 Xray, 2026-10-13</t>
        </is>
      </c>
      <c r="I52" s="60" t="n">
        <v>29.95</v>
      </c>
      <c r="J52" s="61" t="inlineStr">
        <is>
          <t>2026-03-30</t>
        </is>
      </c>
      <c r="K52" s="33" t="n">
        <v>10.55</v>
      </c>
      <c r="L52" s="62" t="n">
        <v>0.3522537562604341</v>
      </c>
      <c r="M52" s="63" t="n">
        <v>19</v>
      </c>
      <c r="N52" s="32" t="inlineStr">
        <is>
          <t>Active</t>
        </is>
      </c>
      <c r="O52" s="32" t="n"/>
      <c r="P52" s="64" t="n">
        <v>4.4</v>
      </c>
      <c r="Q52" s="63" t="n">
        <v>18632</v>
      </c>
      <c r="R52" s="63" t="n">
        <v>10009</v>
      </c>
      <c r="S52" s="63"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59" t="n">
        <v>36.95</v>
      </c>
      <c r="H53" s="32" t="inlineStr">
        <is>
          <t>Helium 10 Xray, 2026-10-13</t>
        </is>
      </c>
      <c r="I53" s="60" t="n">
        <v>31.95</v>
      </c>
      <c r="J53" s="61" t="inlineStr">
        <is>
          <t>2026-03-30</t>
        </is>
      </c>
      <c r="K53" s="33" t="n">
        <v>10.96</v>
      </c>
      <c r="L53" s="62" t="n">
        <v>0.3430359937402191</v>
      </c>
      <c r="M53" s="63" t="n">
        <v>19</v>
      </c>
      <c r="N53" s="32" t="inlineStr">
        <is>
          <t>Active</t>
        </is>
      </c>
      <c r="O53" s="32" t="n"/>
      <c r="P53" s="64" t="n">
        <v>4.4</v>
      </c>
      <c r="Q53" s="63" t="n">
        <v>18632</v>
      </c>
      <c r="R53" s="63" t="n">
        <v>10006</v>
      </c>
      <c r="S53" s="63"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59" t="n">
        <v>29.95</v>
      </c>
      <c r="H54" s="32" t="inlineStr">
        <is>
          <t>Helium 10 Xray, 2026-10-13</t>
        </is>
      </c>
      <c r="I54" s="60" t="n">
        <v>29.95</v>
      </c>
      <c r="J54" s="61" t="inlineStr">
        <is>
          <t>2026-03-30</t>
        </is>
      </c>
      <c r="K54" s="33" t="n">
        <v>10.67</v>
      </c>
      <c r="L54" s="62" t="n">
        <v>0.3562604340567613</v>
      </c>
      <c r="M54" s="63" t="n">
        <v>18</v>
      </c>
      <c r="N54" s="32" t="inlineStr">
        <is>
          <t>Active</t>
        </is>
      </c>
      <c r="O54" s="32" t="n"/>
      <c r="P54" s="64" t="n">
        <v>4.4</v>
      </c>
      <c r="Q54" s="63" t="n">
        <v>18632</v>
      </c>
      <c r="R54" s="63" t="n">
        <v>10006</v>
      </c>
      <c r="S54" s="63"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59" t="n">
        <v>31.95</v>
      </c>
      <c r="H55" s="32" t="inlineStr">
        <is>
          <t>Helium 10 Xray, 2026-10-13</t>
        </is>
      </c>
      <c r="I55" s="60" t="n">
        <v>29.95</v>
      </c>
      <c r="J55" s="61" t="inlineStr">
        <is>
          <t>2026-03-30</t>
        </is>
      </c>
      <c r="K55" s="33" t="n">
        <v>9.32</v>
      </c>
      <c r="L55" s="62" t="n">
        <v>0.3111853088480802</v>
      </c>
      <c r="M55" s="63" t="n">
        <v>18</v>
      </c>
      <c r="N55" s="32" t="inlineStr">
        <is>
          <t>Active</t>
        </is>
      </c>
      <c r="O55" s="32" t="n"/>
      <c r="P55" s="64" t="n">
        <v>4.4</v>
      </c>
      <c r="Q55" s="63" t="n">
        <v>18632</v>
      </c>
      <c r="R55" s="63" t="n">
        <v>10006</v>
      </c>
      <c r="S55" s="63"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59" t="n">
        <v>31.95</v>
      </c>
      <c r="H56" s="32" t="inlineStr">
        <is>
          <t>Helium 10 Xray, 2026-10-13</t>
        </is>
      </c>
      <c r="I56" s="60" t="n">
        <v>47.95</v>
      </c>
      <c r="J56" s="61" t="inlineStr">
        <is>
          <t>2026-03-30</t>
        </is>
      </c>
      <c r="K56" s="33" t="n">
        <v>26.04000000000001</v>
      </c>
      <c r="L56" s="62" t="n">
        <v>0.543065693430657</v>
      </c>
      <c r="M56" s="63" t="n">
        <v>18</v>
      </c>
      <c r="N56" s="32" t="inlineStr">
        <is>
          <t>Active</t>
        </is>
      </c>
      <c r="O56" s="32" t="n"/>
      <c r="P56" s="64" t="n">
        <v>4.4</v>
      </c>
      <c r="Q56" s="63" t="n">
        <v>18632</v>
      </c>
      <c r="R56" s="63" t="n">
        <v>10006</v>
      </c>
      <c r="S56" s="63"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59" t="n">
        <v>29.95</v>
      </c>
      <c r="H57" s="32" t="inlineStr">
        <is>
          <t>Helium 10 Xray, 2026-10-13</t>
        </is>
      </c>
      <c r="I57" s="60" t="n">
        <v>29.95</v>
      </c>
      <c r="J57" s="61" t="inlineStr">
        <is>
          <t>2026-03-30</t>
        </is>
      </c>
      <c r="K57" s="33" t="n">
        <v>9.77</v>
      </c>
      <c r="L57" s="62" t="n">
        <v>0.3262103505843072</v>
      </c>
      <c r="M57" s="63" t="n">
        <v>18</v>
      </c>
      <c r="N57" s="32" t="inlineStr">
        <is>
          <t>Active</t>
        </is>
      </c>
      <c r="O57" s="32" t="n"/>
      <c r="P57" s="64" t="n">
        <v>4.4</v>
      </c>
      <c r="Q57" s="63" t="n">
        <v>18632</v>
      </c>
      <c r="R57" s="63" t="n">
        <v>10006</v>
      </c>
      <c r="S57" s="63"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59" t="n">
        <v>31.95</v>
      </c>
      <c r="H58" s="32" t="inlineStr">
        <is>
          <t>Helium 10 Xray, 2026-10-13</t>
        </is>
      </c>
      <c r="I58" s="60" t="n">
        <v>31.95</v>
      </c>
      <c r="J58" s="61" t="inlineStr">
        <is>
          <t>2026-03-30</t>
        </is>
      </c>
      <c r="K58" s="33" t="n">
        <v>10.91</v>
      </c>
      <c r="L58" s="62" t="n">
        <v>0.341471048513302</v>
      </c>
      <c r="M58" s="63" t="n">
        <v>18</v>
      </c>
      <c r="N58" s="32" t="inlineStr">
        <is>
          <t>Active</t>
        </is>
      </c>
      <c r="O58" s="32" t="n"/>
      <c r="P58" s="64" t="n">
        <v>4.4</v>
      </c>
      <c r="Q58" s="63" t="n">
        <v>18632</v>
      </c>
      <c r="R58" s="63" t="n">
        <v>10006</v>
      </c>
      <c r="S58" s="63"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59" t="n">
        <v>32.95</v>
      </c>
      <c r="H59" s="32" t="inlineStr">
        <is>
          <t>Helium 10 Xray, 2026-10-13</t>
        </is>
      </c>
      <c r="I59" s="60" t="n">
        <v>29.95</v>
      </c>
      <c r="J59" s="61" t="inlineStr">
        <is>
          <t>2026-03-30</t>
        </is>
      </c>
      <c r="K59" s="33" t="n">
        <v>10.62</v>
      </c>
      <c r="L59" s="62" t="n">
        <v>0.3545909849749582</v>
      </c>
      <c r="M59" s="63" t="n">
        <v>17</v>
      </c>
      <c r="N59" s="32" t="inlineStr">
        <is>
          <t>Active</t>
        </is>
      </c>
      <c r="O59" s="32" t="n"/>
      <c r="P59" s="64" t="n">
        <v>4.4</v>
      </c>
      <c r="Q59" s="63" t="n">
        <v>18632</v>
      </c>
      <c r="R59" s="63" t="n">
        <v>10006</v>
      </c>
      <c r="S59" s="63"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59" t="n">
        <v>29.95</v>
      </c>
      <c r="H60" s="32" t="inlineStr">
        <is>
          <t>Helium 10 Xray, 2026-10-13</t>
        </is>
      </c>
      <c r="I60" s="60" t="n">
        <v>29.95</v>
      </c>
      <c r="J60" s="61" t="inlineStr">
        <is>
          <t>2026-03-30</t>
        </is>
      </c>
      <c r="K60" s="33" t="n">
        <v>10.37</v>
      </c>
      <c r="L60" s="62" t="n">
        <v>0.3462437395659432</v>
      </c>
      <c r="M60" s="63" t="n">
        <v>17</v>
      </c>
      <c r="N60" s="32" t="inlineStr">
        <is>
          <t>Active</t>
        </is>
      </c>
      <c r="O60" s="32" t="n"/>
      <c r="P60" s="64" t="n">
        <v>4.4</v>
      </c>
      <c r="Q60" s="63" t="n">
        <v>18632</v>
      </c>
      <c r="R60" s="63" t="n">
        <v>10006</v>
      </c>
      <c r="S60" s="63"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59" t="n">
        <v>33.95</v>
      </c>
      <c r="H61" s="32" t="inlineStr">
        <is>
          <t>Helium 10 Xray, 2026-10-13</t>
        </is>
      </c>
      <c r="I61" s="60" t="n">
        <v>33.95</v>
      </c>
      <c r="J61" s="61" t="inlineStr">
        <is>
          <t>2026-03-30</t>
        </is>
      </c>
      <c r="K61" s="33" t="n">
        <v>11.07</v>
      </c>
      <c r="L61" s="62" t="n">
        <v>0.3260677466863033</v>
      </c>
      <c r="M61" s="63" t="n">
        <v>17</v>
      </c>
      <c r="N61" s="32" t="inlineStr">
        <is>
          <t>Active</t>
        </is>
      </c>
      <c r="O61" s="32" t="n"/>
      <c r="P61" s="64" t="n">
        <v>4.4</v>
      </c>
      <c r="Q61" s="63" t="n">
        <v>18632</v>
      </c>
      <c r="R61" s="63" t="n">
        <v>10006</v>
      </c>
      <c r="S61" s="63"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59" t="n">
        <v>33.95</v>
      </c>
      <c r="H62" s="32" t="inlineStr">
        <is>
          <t>Helium 10 Xray, 2026-10-13</t>
        </is>
      </c>
      <c r="I62" s="60" t="n">
        <v>33.95</v>
      </c>
      <c r="J62" s="61" t="inlineStr">
        <is>
          <t>2026-03-30</t>
        </is>
      </c>
      <c r="K62" s="33" t="n">
        <v>10.78</v>
      </c>
      <c r="L62" s="62" t="n">
        <v>0.3175257731958763</v>
      </c>
      <c r="M62" s="63" t="n">
        <v>17</v>
      </c>
      <c r="N62" s="32" t="inlineStr">
        <is>
          <t>Active</t>
        </is>
      </c>
      <c r="O62" s="32" t="n"/>
      <c r="P62" s="64" t="n">
        <v>4.4</v>
      </c>
      <c r="Q62" s="63" t="n">
        <v>18632</v>
      </c>
      <c r="R62" s="63" t="n">
        <v>10006</v>
      </c>
      <c r="S62" s="63"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59" t="n">
        <v>33.95</v>
      </c>
      <c r="H63" s="32" t="inlineStr">
        <is>
          <t>Helium 10 Xray, 2026-10-13</t>
        </is>
      </c>
      <c r="I63" s="60" t="n">
        <v>33.95</v>
      </c>
      <c r="J63" s="61" t="inlineStr">
        <is>
          <t>2026-03-30</t>
        </is>
      </c>
      <c r="K63" s="33" t="n">
        <v>9.790000000000003</v>
      </c>
      <c r="L63" s="62" t="n">
        <v>0.2883652430044183</v>
      </c>
      <c r="M63" s="63" t="n">
        <v>17</v>
      </c>
      <c r="N63" s="32" t="inlineStr">
        <is>
          <t>Active</t>
        </is>
      </c>
      <c r="O63" s="32" t="n"/>
      <c r="P63" s="64" t="n">
        <v>4.4</v>
      </c>
      <c r="Q63" s="63" t="n">
        <v>18632</v>
      </c>
      <c r="R63" s="63" t="n">
        <v>10006</v>
      </c>
      <c r="S63" s="63"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59" t="n">
        <v>33.95</v>
      </c>
      <c r="H64" s="32" t="inlineStr">
        <is>
          <t>Helium 10 Xray, 2026-10-13</t>
        </is>
      </c>
      <c r="I64" s="60" t="n">
        <v>33.95</v>
      </c>
      <c r="J64" s="61" t="inlineStr">
        <is>
          <t>2026-03-30</t>
        </is>
      </c>
      <c r="K64" s="33" t="n">
        <v>10.56</v>
      </c>
      <c r="L64" s="62" t="n">
        <v>0.3110456553755523</v>
      </c>
      <c r="M64" s="63" t="n">
        <v>16</v>
      </c>
      <c r="N64" s="32" t="inlineStr">
        <is>
          <t>Active</t>
        </is>
      </c>
      <c r="O64" s="32" t="n"/>
      <c r="P64" s="64" t="n">
        <v>4.4</v>
      </c>
      <c r="Q64" s="63" t="n">
        <v>18632</v>
      </c>
      <c r="R64" s="63" t="n">
        <v>10006</v>
      </c>
      <c r="S64" s="63"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59" t="n">
        <v>29.95</v>
      </c>
      <c r="H65" s="32" t="inlineStr">
        <is>
          <t>Helium 10 Xray, 2026-10-13</t>
        </is>
      </c>
      <c r="I65" s="60" t="n">
        <v>29.95</v>
      </c>
      <c r="J65" s="61" t="inlineStr">
        <is>
          <t>2026-03-30</t>
        </is>
      </c>
      <c r="K65" s="33" t="n">
        <v>9.75</v>
      </c>
      <c r="L65" s="62" t="n">
        <v>0.3255425709515861</v>
      </c>
      <c r="M65" s="63" t="n">
        <v>15</v>
      </c>
      <c r="N65" s="32" t="inlineStr">
        <is>
          <t>Active</t>
        </is>
      </c>
      <c r="O65" s="32" t="n"/>
      <c r="P65" s="64" t="n">
        <v>4.4</v>
      </c>
      <c r="Q65" s="63" t="n">
        <v>18632</v>
      </c>
      <c r="R65" s="63" t="n">
        <v>10006</v>
      </c>
      <c r="S65" s="63"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59" t="n">
        <v>29.95</v>
      </c>
      <c r="H66" s="32" t="inlineStr">
        <is>
          <t>Helium 10 Xray, 2026-10-13</t>
        </is>
      </c>
      <c r="I66" s="60" t="n">
        <v>29.95</v>
      </c>
      <c r="J66" s="61" t="inlineStr">
        <is>
          <t>2026-03-30</t>
        </is>
      </c>
      <c r="K66" s="33" t="n">
        <v>10.33</v>
      </c>
      <c r="L66" s="62" t="n">
        <v>0.3449081803005009</v>
      </c>
      <c r="M66" s="63" t="n">
        <v>14</v>
      </c>
      <c r="N66" s="32" t="inlineStr">
        <is>
          <t>Active</t>
        </is>
      </c>
      <c r="O66" s="32" t="n"/>
      <c r="P66" s="64" t="n">
        <v>4.4</v>
      </c>
      <c r="Q66" s="63" t="n">
        <v>18632</v>
      </c>
      <c r="R66" s="63" t="n">
        <v>10006</v>
      </c>
      <c r="S66" s="63"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59" t="n">
        <v>31.95</v>
      </c>
      <c r="H67" s="32" t="inlineStr">
        <is>
          <t>Helium 10 Xray, 2026-10-13</t>
        </is>
      </c>
      <c r="I67" s="60" t="n">
        <v>31.95</v>
      </c>
      <c r="J67" s="61" t="inlineStr">
        <is>
          <t>2026-03-30</t>
        </is>
      </c>
      <c r="K67" s="33" t="n">
        <v>9.529999999999999</v>
      </c>
      <c r="L67" s="62" t="n">
        <v>0.2982785602503912</v>
      </c>
      <c r="M67" s="63" t="n">
        <v>14</v>
      </c>
      <c r="N67" s="32" t="inlineStr">
        <is>
          <t>Active</t>
        </is>
      </c>
      <c r="O67" s="32" t="n"/>
      <c r="P67" s="64" t="n">
        <v>4.4</v>
      </c>
      <c r="Q67" s="63" t="n">
        <v>18632</v>
      </c>
      <c r="R67" s="63" t="n">
        <v>10006</v>
      </c>
      <c r="S67" s="63"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59" t="n">
        <v>31.95</v>
      </c>
      <c r="H68" s="32" t="inlineStr">
        <is>
          <t>Helium 10 Xray, 2026-10-13</t>
        </is>
      </c>
      <c r="I68" s="60" t="n">
        <v>45.95</v>
      </c>
      <c r="J68" s="61" t="inlineStr">
        <is>
          <t>2026-03-30</t>
        </is>
      </c>
      <c r="K68" s="33" t="n">
        <v>21.89</v>
      </c>
      <c r="L68" s="62" t="n">
        <v>0.4763873775843309</v>
      </c>
      <c r="M68" s="63" t="n">
        <v>13</v>
      </c>
      <c r="N68" s="32" t="inlineStr">
        <is>
          <t>Active</t>
        </is>
      </c>
      <c r="O68" s="32" t="n"/>
      <c r="P68" s="64" t="n">
        <v>4.4</v>
      </c>
      <c r="Q68" s="63" t="n">
        <v>18632</v>
      </c>
      <c r="R68" s="63" t="n">
        <v>10006</v>
      </c>
      <c r="S68" s="63"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0" t="n">
        <v>25.49</v>
      </c>
      <c r="J69" s="61" t="inlineStr">
        <is>
          <t>2026-03-30</t>
        </is>
      </c>
      <c r="K69" s="33" t="n">
        <v>3.789999999999997</v>
      </c>
      <c r="L69" s="62" t="n">
        <v>0.1486857591212239</v>
      </c>
      <c r="M69" s="63" t="n">
        <v>13</v>
      </c>
      <c r="N69" s="32" t="inlineStr">
        <is>
          <t>Active</t>
        </is>
      </c>
      <c r="O69" s="32" t="n"/>
      <c r="P69" s="64" t="n"/>
      <c r="Q69" s="63" t="n"/>
      <c r="R69" s="63" t="n"/>
      <c r="S69" s="63"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59" t="n">
        <v>29.95</v>
      </c>
      <c r="H70" s="32" t="inlineStr">
        <is>
          <t>Helium 10 Xray, 2026-10-13</t>
        </is>
      </c>
      <c r="I70" s="60" t="n">
        <v>29.95</v>
      </c>
      <c r="J70" s="61" t="inlineStr">
        <is>
          <t>2026-03-30</t>
        </is>
      </c>
      <c r="K70" s="33" t="n">
        <v>10.33</v>
      </c>
      <c r="L70" s="62" t="n">
        <v>0.3449081803005009</v>
      </c>
      <c r="M70" s="63" t="n">
        <v>12</v>
      </c>
      <c r="N70" s="32" t="inlineStr">
        <is>
          <t>Active</t>
        </is>
      </c>
      <c r="O70" s="32" t="n"/>
      <c r="P70" s="64" t="n">
        <v>4.4</v>
      </c>
      <c r="Q70" s="63" t="n">
        <v>18632</v>
      </c>
      <c r="R70" s="63" t="n">
        <v>10009</v>
      </c>
      <c r="S70" s="63"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59" t="n">
        <v>32.95</v>
      </c>
      <c r="H71" s="32" t="inlineStr">
        <is>
          <t>Helium 10 Xray, 2026-10-13</t>
        </is>
      </c>
      <c r="I71" s="60" t="n">
        <v>29.95</v>
      </c>
      <c r="J71" s="61" t="inlineStr">
        <is>
          <t>2026-03-30</t>
        </is>
      </c>
      <c r="K71" s="33" t="n">
        <v>9.369999999999999</v>
      </c>
      <c r="L71" s="62" t="n">
        <v>0.3128547579298831</v>
      </c>
      <c r="M71" s="63" t="n">
        <v>12</v>
      </c>
      <c r="N71" s="32" t="inlineStr">
        <is>
          <t>Active</t>
        </is>
      </c>
      <c r="O71" s="32" t="n"/>
      <c r="P71" s="64" t="n">
        <v>4.4</v>
      </c>
      <c r="Q71" s="63" t="n">
        <v>18632</v>
      </c>
      <c r="R71" s="63" t="n">
        <v>10006</v>
      </c>
      <c r="S71" s="63"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59" t="n">
        <v>31.95</v>
      </c>
      <c r="H72" s="32" t="inlineStr">
        <is>
          <t>Helium 10 Xray, 2026-10-13</t>
        </is>
      </c>
      <c r="I72" s="60" t="n">
        <v>31.95</v>
      </c>
      <c r="J72" s="61" t="inlineStr">
        <is>
          <t>2026-03-30</t>
        </is>
      </c>
      <c r="K72" s="33" t="n">
        <v>9.879999999999999</v>
      </c>
      <c r="L72" s="62" t="n">
        <v>0.3092331768388106</v>
      </c>
      <c r="M72" s="63" t="n">
        <v>11</v>
      </c>
      <c r="N72" s="32" t="inlineStr">
        <is>
          <t>Active</t>
        </is>
      </c>
      <c r="O72" s="32" t="n"/>
      <c r="P72" s="64" t="n">
        <v>4.4</v>
      </c>
      <c r="Q72" s="63" t="n">
        <v>18632</v>
      </c>
      <c r="R72" s="63" t="n">
        <v>10009</v>
      </c>
      <c r="S72" s="63"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59" t="n">
        <v>29.95</v>
      </c>
      <c r="H73" s="32" t="inlineStr">
        <is>
          <t>Helium 10 Xray, 2026-10-13</t>
        </is>
      </c>
      <c r="I73" s="60" t="n">
        <v>29.95</v>
      </c>
      <c r="J73" s="61" t="inlineStr">
        <is>
          <t>2026-03-30</t>
        </is>
      </c>
      <c r="K73" s="33" t="n">
        <v>10.59</v>
      </c>
      <c r="L73" s="62" t="n">
        <v>0.3535893155258765</v>
      </c>
      <c r="M73" s="63" t="n">
        <v>9</v>
      </c>
      <c r="N73" s="32" t="inlineStr">
        <is>
          <t>Active</t>
        </is>
      </c>
      <c r="O73" s="32" t="n"/>
      <c r="P73" s="64" t="n">
        <v>4.4</v>
      </c>
      <c r="Q73" s="63" t="n">
        <v>18632</v>
      </c>
      <c r="R73" s="63" t="n">
        <v>10006</v>
      </c>
      <c r="S73" s="63"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59" t="n">
        <v>33.95</v>
      </c>
      <c r="H74" s="32" t="inlineStr">
        <is>
          <t>Helium 10 Xray, 2026-10-13</t>
        </is>
      </c>
      <c r="I74" s="33" t="n"/>
      <c r="J74" s="32" t="n"/>
      <c r="K74" s="33" t="n"/>
      <c r="L74" s="62" t="n"/>
      <c r="M74" s="63" t="n">
        <v>9</v>
      </c>
      <c r="N74" s="32" t="inlineStr">
        <is>
          <t>Active</t>
        </is>
      </c>
      <c r="O74" s="32" t="n"/>
      <c r="P74" s="64" t="n">
        <v>4.4</v>
      </c>
      <c r="Q74" s="63" t="n">
        <v>18632</v>
      </c>
      <c r="R74" s="63" t="n">
        <v>10009</v>
      </c>
      <c r="S74" s="63"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59" t="n">
        <v>27.95</v>
      </c>
      <c r="H75" s="32" t="inlineStr">
        <is>
          <t>Helium 10 Xray, 2026-10-13</t>
        </is>
      </c>
      <c r="I75" s="60" t="n">
        <v>27.95</v>
      </c>
      <c r="J75" s="61" t="inlineStr">
        <is>
          <t>2026-03-30</t>
        </is>
      </c>
      <c r="K75" s="33" t="n">
        <v>9.619999999999999</v>
      </c>
      <c r="L75" s="62" t="n">
        <v>0.3441860465116279</v>
      </c>
      <c r="M75" s="63" t="n">
        <v>9</v>
      </c>
      <c r="N75" s="32" t="inlineStr">
        <is>
          <t>Active</t>
        </is>
      </c>
      <c r="O75" s="32" t="n"/>
      <c r="P75" s="64" t="n">
        <v>4.4</v>
      </c>
      <c r="Q75" s="63" t="n">
        <v>18632</v>
      </c>
      <c r="R75" s="63" t="n">
        <v>10006</v>
      </c>
      <c r="S75" s="63"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59" t="n">
        <v>29.95</v>
      </c>
      <c r="H76" s="32" t="inlineStr">
        <is>
          <t>Helium 10 Xray, 2026-10-13</t>
        </is>
      </c>
      <c r="I76" s="60" t="n">
        <v>48.95</v>
      </c>
      <c r="J76" s="61" t="inlineStr">
        <is>
          <t>2026-03-30</t>
        </is>
      </c>
      <c r="K76" s="33" t="n">
        <v>25.61</v>
      </c>
      <c r="L76" s="62" t="n">
        <v>0.5231869254341164</v>
      </c>
      <c r="M76" s="63" t="n">
        <v>8</v>
      </c>
      <c r="N76" s="32" t="inlineStr">
        <is>
          <t>Active</t>
        </is>
      </c>
      <c r="O76" s="32" t="n"/>
      <c r="P76" s="64" t="n">
        <v>4.4</v>
      </c>
      <c r="Q76" s="63" t="n">
        <v>18632</v>
      </c>
      <c r="R76" s="63" t="n">
        <v>10009</v>
      </c>
      <c r="S76" s="63"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59" t="n">
        <v>33.95</v>
      </c>
      <c r="H77" s="32" t="inlineStr">
        <is>
          <t>Helium 10 Xray, 2026-10-13</t>
        </is>
      </c>
      <c r="I77" s="60" t="n">
        <v>33.95</v>
      </c>
      <c r="J77" s="61" t="inlineStr">
        <is>
          <t>2026-03-30</t>
        </is>
      </c>
      <c r="K77" s="33" t="n">
        <v>10.2</v>
      </c>
      <c r="L77" s="62" t="n">
        <v>0.3004418262150221</v>
      </c>
      <c r="M77" s="63" t="n">
        <v>8</v>
      </c>
      <c r="N77" s="32" t="inlineStr">
        <is>
          <t>Active</t>
        </is>
      </c>
      <c r="O77" s="32" t="n"/>
      <c r="P77" s="64" t="n">
        <v>4.4</v>
      </c>
      <c r="Q77" s="63" t="n">
        <v>18632</v>
      </c>
      <c r="R77" s="63" t="n">
        <v>10006</v>
      </c>
      <c r="S77" s="63"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59" t="n">
        <v>27.95</v>
      </c>
      <c r="H78" s="32" t="inlineStr">
        <is>
          <t>Helium 10 Xray, 2026-10-13</t>
        </is>
      </c>
      <c r="I78" s="60" t="n">
        <v>27.95</v>
      </c>
      <c r="J78" s="61" t="inlineStr">
        <is>
          <t>2026-03-30</t>
        </is>
      </c>
      <c r="K78" s="33" t="n">
        <v>10.44</v>
      </c>
      <c r="L78" s="62" t="n">
        <v>0.3735241502683364</v>
      </c>
      <c r="M78" s="63" t="n">
        <v>8</v>
      </c>
      <c r="N78" s="32" t="inlineStr">
        <is>
          <t>Active</t>
        </is>
      </c>
      <c r="O78" s="32" t="n"/>
      <c r="P78" s="64" t="n">
        <v>4.4</v>
      </c>
      <c r="Q78" s="63" t="n">
        <v>18632</v>
      </c>
      <c r="R78" s="63" t="n">
        <v>10006</v>
      </c>
      <c r="S78" s="63"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59" t="n">
        <v>27.95</v>
      </c>
      <c r="H79" s="32" t="inlineStr">
        <is>
          <t>Helium 10 Xray, 2026-10-13</t>
        </is>
      </c>
      <c r="I79" s="60" t="n">
        <v>34.95</v>
      </c>
      <c r="J79" s="61" t="inlineStr">
        <is>
          <t>2026-03-30</t>
        </is>
      </c>
      <c r="K79" s="33" t="n">
        <v>16.37</v>
      </c>
      <c r="L79" s="62" t="n">
        <v>0.4683834048640915</v>
      </c>
      <c r="M79" s="63" t="n">
        <v>8</v>
      </c>
      <c r="N79" s="32" t="inlineStr">
        <is>
          <t>Active</t>
        </is>
      </c>
      <c r="O79" s="32" t="n"/>
      <c r="P79" s="64" t="n">
        <v>4.4</v>
      </c>
      <c r="Q79" s="63" t="n">
        <v>18632</v>
      </c>
      <c r="R79" s="63" t="n">
        <v>10009</v>
      </c>
      <c r="S79" s="63"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59" t="n">
        <v>29.95</v>
      </c>
      <c r="H80" s="32" t="inlineStr">
        <is>
          <t>Helium 10 Xray, 2026-10-13</t>
        </is>
      </c>
      <c r="I80" s="60" t="n">
        <v>26.95</v>
      </c>
      <c r="J80" s="61" t="inlineStr">
        <is>
          <t>2026-03-30</t>
        </is>
      </c>
      <c r="K80" s="33" t="n">
        <v>7.609999999999999</v>
      </c>
      <c r="L80" s="62" t="n">
        <v>0.2823747680890538</v>
      </c>
      <c r="M80" s="63" t="n">
        <v>7</v>
      </c>
      <c r="N80" s="32" t="inlineStr">
        <is>
          <t>Active</t>
        </is>
      </c>
      <c r="O80" s="32" t="n"/>
      <c r="P80" s="64" t="n">
        <v>4.4</v>
      </c>
      <c r="Q80" s="63" t="n">
        <v>18632</v>
      </c>
      <c r="R80" s="63" t="n">
        <v>10009</v>
      </c>
      <c r="S80" s="63"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59" t="n">
        <v>33.95</v>
      </c>
      <c r="H81" s="32" t="inlineStr">
        <is>
          <t>Helium 10 Xray, 2026-10-13</t>
        </is>
      </c>
      <c r="I81" s="60" t="n">
        <v>33.95</v>
      </c>
      <c r="J81" s="61" t="inlineStr">
        <is>
          <t>2026-03-30</t>
        </is>
      </c>
      <c r="K81" s="33" t="n">
        <v>10.6</v>
      </c>
      <c r="L81" s="62" t="n">
        <v>0.3122238586156112</v>
      </c>
      <c r="M81" s="63" t="n">
        <v>7</v>
      </c>
      <c r="N81" s="32" t="inlineStr">
        <is>
          <t>Active</t>
        </is>
      </c>
      <c r="O81" s="32" t="n"/>
      <c r="P81" s="64" t="n">
        <v>4.4</v>
      </c>
      <c r="Q81" s="63" t="n">
        <v>18632</v>
      </c>
      <c r="R81" s="63" t="n">
        <v>10006</v>
      </c>
      <c r="S81" s="63"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59" t="n">
        <v>31.95</v>
      </c>
      <c r="H82" s="32" t="inlineStr">
        <is>
          <t>Helium 10 Xray, 2026-10-13</t>
        </is>
      </c>
      <c r="I82" s="60" t="n">
        <v>31.95</v>
      </c>
      <c r="J82" s="61" t="inlineStr">
        <is>
          <t>2026-03-30</t>
        </is>
      </c>
      <c r="K82" s="33" t="n">
        <v>9.279999999999999</v>
      </c>
      <c r="L82" s="62" t="n">
        <v>0.2904538341158059</v>
      </c>
      <c r="M82" s="63" t="n">
        <v>7</v>
      </c>
      <c r="N82" s="32" t="inlineStr">
        <is>
          <t>Active</t>
        </is>
      </c>
      <c r="O82" s="32" t="n"/>
      <c r="P82" s="64" t="n">
        <v>4.4</v>
      </c>
      <c r="Q82" s="63" t="n">
        <v>18632</v>
      </c>
      <c r="R82" s="63" t="n">
        <v>10006</v>
      </c>
      <c r="S82" s="63"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59" t="n">
        <v>31.95</v>
      </c>
      <c r="H83" s="32" t="inlineStr">
        <is>
          <t>Helium 10 Xray, 2026-10-13</t>
        </is>
      </c>
      <c r="I83" s="60" t="n">
        <v>31.95</v>
      </c>
      <c r="J83" s="61" t="inlineStr">
        <is>
          <t>2026-03-30</t>
        </is>
      </c>
      <c r="K83" s="33" t="n">
        <v>10.09</v>
      </c>
      <c r="L83" s="62" t="n">
        <v>0.3158059467918623</v>
      </c>
      <c r="M83" s="63" t="n">
        <v>7</v>
      </c>
      <c r="N83" s="32" t="inlineStr">
        <is>
          <t>Active</t>
        </is>
      </c>
      <c r="O83" s="32" t="n"/>
      <c r="P83" s="64" t="n">
        <v>4.4</v>
      </c>
      <c r="Q83" s="63" t="n">
        <v>18632</v>
      </c>
      <c r="R83" s="63" t="n">
        <v>10006</v>
      </c>
      <c r="S83" s="63"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59" t="n">
        <v>27.95</v>
      </c>
      <c r="H84" s="32" t="inlineStr">
        <is>
          <t>Helium 10 Xray, 2026-10-13</t>
        </is>
      </c>
      <c r="I84" s="60" t="n">
        <v>27.95</v>
      </c>
      <c r="J84" s="61" t="inlineStr">
        <is>
          <t>2026-03-30</t>
        </is>
      </c>
      <c r="K84" s="33" t="n">
        <v>10.66</v>
      </c>
      <c r="L84" s="62" t="n">
        <v>0.3813953488372093</v>
      </c>
      <c r="M84" s="63" t="n">
        <v>7</v>
      </c>
      <c r="N84" s="32" t="inlineStr">
        <is>
          <t>Active</t>
        </is>
      </c>
      <c r="O84" s="32" t="n"/>
      <c r="P84" s="64" t="n">
        <v>4.4</v>
      </c>
      <c r="Q84" s="63" t="n">
        <v>18632</v>
      </c>
      <c r="R84" s="63" t="n">
        <v>10006</v>
      </c>
      <c r="S84" s="63"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59" t="n">
        <v>27.95</v>
      </c>
      <c r="H85" s="32" t="inlineStr">
        <is>
          <t>Helium 10 Xray, 2026-10-13</t>
        </is>
      </c>
      <c r="I85" s="60" t="n">
        <v>34.95</v>
      </c>
      <c r="J85" s="61" t="inlineStr">
        <is>
          <t>2026-03-30</t>
        </is>
      </c>
      <c r="K85" s="33" t="n">
        <v>15.72</v>
      </c>
      <c r="L85" s="62" t="n">
        <v>0.4497854077253218</v>
      </c>
      <c r="M85" s="63" t="n">
        <v>7</v>
      </c>
      <c r="N85" s="32" t="inlineStr">
        <is>
          <t>Active</t>
        </is>
      </c>
      <c r="O85" s="32" t="n"/>
      <c r="P85" s="64" t="n">
        <v>4.4</v>
      </c>
      <c r="Q85" s="63" t="n">
        <v>18632</v>
      </c>
      <c r="R85" s="63" t="n">
        <v>10006</v>
      </c>
      <c r="S85" s="63"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59" t="n">
        <v>29.95</v>
      </c>
      <c r="H86" s="32" t="inlineStr">
        <is>
          <t>Helium 10 Xray, 2026-10-13</t>
        </is>
      </c>
      <c r="I86" s="60" t="n">
        <v>29.95</v>
      </c>
      <c r="J86" s="61" t="inlineStr">
        <is>
          <t>2026-03-30</t>
        </is>
      </c>
      <c r="K86" s="33" t="n">
        <v>9.760000000000002</v>
      </c>
      <c r="L86" s="62" t="n">
        <v>0.3258764607679466</v>
      </c>
      <c r="M86" s="63" t="n">
        <v>6</v>
      </c>
      <c r="N86" s="32" t="inlineStr">
        <is>
          <t>Active</t>
        </is>
      </c>
      <c r="O86" s="32" t="n"/>
      <c r="P86" s="64" t="n">
        <v>4.4</v>
      </c>
      <c r="Q86" s="63" t="n">
        <v>18632</v>
      </c>
      <c r="R86" s="63" t="n">
        <v>10009</v>
      </c>
      <c r="S86" s="63"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59" t="n">
        <v>31.95</v>
      </c>
      <c r="H87" s="32" t="inlineStr">
        <is>
          <t>Helium 10 Xray, 2026-10-13</t>
        </is>
      </c>
      <c r="I87" s="60" t="n">
        <v>31.95</v>
      </c>
      <c r="J87" s="61" t="inlineStr">
        <is>
          <t>2026-03-30</t>
        </is>
      </c>
      <c r="K87" s="33" t="n">
        <v>8.640000000000001</v>
      </c>
      <c r="L87" s="62" t="n">
        <v>0.2704225352112676</v>
      </c>
      <c r="M87" s="63" t="n">
        <v>6</v>
      </c>
      <c r="N87" s="32" t="inlineStr">
        <is>
          <t>Active</t>
        </is>
      </c>
      <c r="O87" s="32" t="n"/>
      <c r="P87" s="64" t="n">
        <v>4.4</v>
      </c>
      <c r="Q87" s="63" t="n">
        <v>18632</v>
      </c>
      <c r="R87" s="63" t="n">
        <v>10006</v>
      </c>
      <c r="S87" s="63"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59" t="n">
        <v>27.95</v>
      </c>
      <c r="H88" s="32" t="inlineStr">
        <is>
          <t>Helium 10 Xray, 2026-10-13</t>
        </is>
      </c>
      <c r="I88" s="60" t="n">
        <v>29.95</v>
      </c>
      <c r="J88" s="61" t="inlineStr">
        <is>
          <t>2026-03-30</t>
        </is>
      </c>
      <c r="K88" s="33" t="n">
        <v>11.32</v>
      </c>
      <c r="L88" s="62" t="n">
        <v>0.3779632721202005</v>
      </c>
      <c r="M88" s="63" t="n">
        <v>6</v>
      </c>
      <c r="N88" s="32" t="inlineStr">
        <is>
          <t>Active</t>
        </is>
      </c>
      <c r="O88" s="32" t="n"/>
      <c r="P88" s="64" t="n">
        <v>4.4</v>
      </c>
      <c r="Q88" s="63" t="n">
        <v>18632</v>
      </c>
      <c r="R88" s="63" t="n">
        <v>10009</v>
      </c>
      <c r="S88" s="63"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59" t="n">
        <v>27.95</v>
      </c>
      <c r="H89" s="32" t="inlineStr">
        <is>
          <t>Helium 10 Xray, 2026-10-13</t>
        </is>
      </c>
      <c r="I89" s="60" t="n">
        <v>27.95</v>
      </c>
      <c r="J89" s="61" t="inlineStr">
        <is>
          <t>2026-03-30</t>
        </is>
      </c>
      <c r="K89" s="33" t="n">
        <v>10.1</v>
      </c>
      <c r="L89" s="62" t="n">
        <v>0.3613595706618962</v>
      </c>
      <c r="M89" s="63" t="n">
        <v>6</v>
      </c>
      <c r="N89" s="32" t="inlineStr">
        <is>
          <t>Active</t>
        </is>
      </c>
      <c r="O89" s="32" t="n"/>
      <c r="P89" s="64" t="n">
        <v>4.4</v>
      </c>
      <c r="Q89" s="63" t="n">
        <v>18632</v>
      </c>
      <c r="R89" s="63" t="n">
        <v>10006</v>
      </c>
      <c r="S89" s="63"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59" t="n">
        <v>27.95</v>
      </c>
      <c r="H90" s="32" t="inlineStr">
        <is>
          <t>Helium 10 Xray, 2026-10-13</t>
        </is>
      </c>
      <c r="I90" s="60" t="n">
        <v>27.95</v>
      </c>
      <c r="J90" s="61" t="inlineStr">
        <is>
          <t>2026-03-30</t>
        </is>
      </c>
      <c r="K90" s="33" t="n">
        <v>9.479999999999997</v>
      </c>
      <c r="L90" s="62" t="n">
        <v>0.3391771019677996</v>
      </c>
      <c r="M90" s="63" t="n">
        <v>6</v>
      </c>
      <c r="N90" s="32" t="inlineStr">
        <is>
          <t>Active</t>
        </is>
      </c>
      <c r="O90" s="32" t="n"/>
      <c r="P90" s="64" t="n">
        <v>4.4</v>
      </c>
      <c r="Q90" s="63" t="n">
        <v>18632</v>
      </c>
      <c r="R90" s="63" t="n">
        <v>10009</v>
      </c>
      <c r="S90" s="63"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59" t="n">
        <v>27.95</v>
      </c>
      <c r="H91" s="32" t="inlineStr">
        <is>
          <t>Helium 10 Xray, 2026-10-13</t>
        </is>
      </c>
      <c r="I91" s="60" t="n">
        <v>27.95</v>
      </c>
      <c r="J91" s="61" t="inlineStr">
        <is>
          <t>2026-03-30</t>
        </is>
      </c>
      <c r="K91" s="33" t="n">
        <v>9.659999999999997</v>
      </c>
      <c r="L91" s="62" t="n">
        <v>0.3456171735241502</v>
      </c>
      <c r="M91" s="63" t="n">
        <v>6</v>
      </c>
      <c r="N91" s="32" t="inlineStr">
        <is>
          <t>Active</t>
        </is>
      </c>
      <c r="O91" s="32" t="n"/>
      <c r="P91" s="64" t="n">
        <v>4.4</v>
      </c>
      <c r="Q91" s="63" t="n">
        <v>18632</v>
      </c>
      <c r="R91" s="63" t="n">
        <v>10006</v>
      </c>
      <c r="S91" s="63"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59" t="n">
        <v>29.95</v>
      </c>
      <c r="H92" s="32" t="inlineStr">
        <is>
          <t>Helium 10 Xray, 2026-10-13</t>
        </is>
      </c>
      <c r="I92" s="60" t="n">
        <v>29.95</v>
      </c>
      <c r="J92" s="61" t="inlineStr">
        <is>
          <t>2026-03-30</t>
        </is>
      </c>
      <c r="K92" s="33" t="n">
        <v>10.76</v>
      </c>
      <c r="L92" s="62" t="n">
        <v>0.3592654424040067</v>
      </c>
      <c r="M92" s="63" t="n">
        <v>5</v>
      </c>
      <c r="N92" s="32" t="inlineStr">
        <is>
          <t>Active</t>
        </is>
      </c>
      <c r="O92" s="32" t="n"/>
      <c r="P92" s="64" t="n">
        <v>4.4</v>
      </c>
      <c r="Q92" s="63" t="n">
        <v>18632</v>
      </c>
      <c r="R92" s="63" t="n">
        <v>10006</v>
      </c>
      <c r="S92" s="63"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59" t="n">
        <v>29.95</v>
      </c>
      <c r="H93" s="32" t="inlineStr">
        <is>
          <t>Helium 10 Xray, 2026-10-13</t>
        </is>
      </c>
      <c r="I93" s="60" t="n">
        <v>26.95</v>
      </c>
      <c r="J93" s="61" t="inlineStr">
        <is>
          <t>2026-03-30</t>
        </is>
      </c>
      <c r="K93" s="33" t="n">
        <v>6.81</v>
      </c>
      <c r="L93" s="62" t="n">
        <v>0.2526901669758813</v>
      </c>
      <c r="M93" s="63" t="n">
        <v>5</v>
      </c>
      <c r="N93" s="32" t="inlineStr">
        <is>
          <t>Active</t>
        </is>
      </c>
      <c r="O93" s="32" t="n"/>
      <c r="P93" s="64" t="n">
        <v>4.4</v>
      </c>
      <c r="Q93" s="63" t="n">
        <v>18632</v>
      </c>
      <c r="R93" s="63" t="n">
        <v>10006</v>
      </c>
      <c r="S93" s="63"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59" t="n">
        <v>29.95</v>
      </c>
      <c r="H94" s="32" t="inlineStr">
        <is>
          <t>Helium 10 Xray, 2026-10-13</t>
        </is>
      </c>
      <c r="I94" s="60" t="n">
        <v>29.95</v>
      </c>
      <c r="J94" s="61" t="inlineStr">
        <is>
          <t>2026-03-30</t>
        </is>
      </c>
      <c r="K94" s="33" t="n">
        <v>9.92</v>
      </c>
      <c r="L94" s="62" t="n">
        <v>0.3312186978297162</v>
      </c>
      <c r="M94" s="63" t="n">
        <v>5</v>
      </c>
      <c r="N94" s="32" t="inlineStr">
        <is>
          <t>Active</t>
        </is>
      </c>
      <c r="O94" s="32" t="n"/>
      <c r="P94" s="64" t="n">
        <v>4.4</v>
      </c>
      <c r="Q94" s="63" t="n">
        <v>18632</v>
      </c>
      <c r="R94" s="63" t="n">
        <v>10006</v>
      </c>
      <c r="S94" s="63"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59" t="n">
        <v>27.95</v>
      </c>
      <c r="H95" s="32" t="inlineStr">
        <is>
          <t>Helium 10 Xray, 2026-10-13</t>
        </is>
      </c>
      <c r="I95" s="60" t="n">
        <v>27.95</v>
      </c>
      <c r="J95" s="61" t="inlineStr">
        <is>
          <t>2026-03-30</t>
        </is>
      </c>
      <c r="K95" s="33" t="n">
        <v>9.809999999999999</v>
      </c>
      <c r="L95" s="62" t="n">
        <v>0.3509838998211091</v>
      </c>
      <c r="M95" s="63" t="n">
        <v>5</v>
      </c>
      <c r="N95" s="32" t="inlineStr">
        <is>
          <t>Active</t>
        </is>
      </c>
      <c r="O95" s="32" t="n"/>
      <c r="P95" s="64" t="n">
        <v>4.4</v>
      </c>
      <c r="Q95" s="63" t="n">
        <v>18632</v>
      </c>
      <c r="R95" s="63" t="n">
        <v>10009</v>
      </c>
      <c r="S95" s="63"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59" t="n">
        <v>29.95</v>
      </c>
      <c r="H96" s="32" t="inlineStr">
        <is>
          <t>Helium 10 Xray, 2026-10-13</t>
        </is>
      </c>
      <c r="I96" s="60" t="n">
        <v>42.95</v>
      </c>
      <c r="J96" s="61" t="inlineStr">
        <is>
          <t>2026-03-30</t>
        </is>
      </c>
      <c r="K96" s="33" t="n">
        <v>19.26000000000001</v>
      </c>
      <c r="L96" s="62" t="n">
        <v>0.4484284051222353</v>
      </c>
      <c r="M96" s="63" t="n">
        <v>4</v>
      </c>
      <c r="N96" s="32" t="inlineStr">
        <is>
          <t>Active</t>
        </is>
      </c>
      <c r="O96" s="32" t="n"/>
      <c r="P96" s="64" t="n">
        <v>4.4</v>
      </c>
      <c r="Q96" s="63" t="n">
        <v>18632</v>
      </c>
      <c r="R96" s="63" t="n">
        <v>10006</v>
      </c>
      <c r="S96" s="63"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59" t="n">
        <v>29.95</v>
      </c>
      <c r="H97" s="32" t="inlineStr">
        <is>
          <t>Helium 10 Xray, 2026-10-13</t>
        </is>
      </c>
      <c r="I97" s="60" t="n">
        <v>45.95</v>
      </c>
      <c r="J97" s="61" t="inlineStr">
        <is>
          <t>2026-03-30</t>
        </is>
      </c>
      <c r="K97" s="33" t="n">
        <v>22.94</v>
      </c>
      <c r="L97" s="62" t="n">
        <v>0.4992383025027205</v>
      </c>
      <c r="M97" s="63" t="n">
        <v>4</v>
      </c>
      <c r="N97" s="32" t="inlineStr">
        <is>
          <t>Active</t>
        </is>
      </c>
      <c r="O97" s="32" t="n"/>
      <c r="P97" s="64" t="n">
        <v>4.4</v>
      </c>
      <c r="Q97" s="63" t="n">
        <v>18632</v>
      </c>
      <c r="R97" s="63" t="n">
        <v>10009</v>
      </c>
      <c r="S97" s="63"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59" t="n">
        <v>29.95</v>
      </c>
      <c r="H98" s="32" t="inlineStr">
        <is>
          <t>Helium 10 Xray, 2026-10-13</t>
        </is>
      </c>
      <c r="I98" s="60" t="n">
        <v>29.95</v>
      </c>
      <c r="J98" s="61" t="inlineStr">
        <is>
          <t>2026-03-30</t>
        </is>
      </c>
      <c r="K98" s="33" t="n">
        <v>9.640000000000002</v>
      </c>
      <c r="L98" s="62" t="n">
        <v>0.3218697829716194</v>
      </c>
      <c r="M98" s="63" t="n">
        <v>4</v>
      </c>
      <c r="N98" s="32" t="inlineStr">
        <is>
          <t>Active</t>
        </is>
      </c>
      <c r="O98" s="32" t="n"/>
      <c r="P98" s="64" t="n">
        <v>4.4</v>
      </c>
      <c r="Q98" s="63" t="n">
        <v>18632</v>
      </c>
      <c r="R98" s="63" t="n">
        <v>10009</v>
      </c>
      <c r="S98" s="63"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59" t="n">
        <v>27.95</v>
      </c>
      <c r="H99" s="32" t="inlineStr">
        <is>
          <t>Helium 10 Xray, 2026-10-13</t>
        </is>
      </c>
      <c r="I99" s="60" t="n">
        <v>27.95</v>
      </c>
      <c r="J99" s="61" t="inlineStr">
        <is>
          <t>2026-03-30</t>
        </is>
      </c>
      <c r="K99" s="33" t="n">
        <v>10.21</v>
      </c>
      <c r="L99" s="62" t="n">
        <v>0.3652951699463327</v>
      </c>
      <c r="M99" s="63" t="n">
        <v>4</v>
      </c>
      <c r="N99" s="32" t="inlineStr">
        <is>
          <t>Active</t>
        </is>
      </c>
      <c r="O99" s="32" t="n"/>
      <c r="P99" s="64" t="n">
        <v>4.4</v>
      </c>
      <c r="Q99" s="63" t="n">
        <v>18632</v>
      </c>
      <c r="R99" s="63" t="n">
        <v>10006</v>
      </c>
      <c r="S99" s="63"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59" t="n">
        <v>27.95</v>
      </c>
      <c r="H100" s="32" t="inlineStr">
        <is>
          <t>Helium 10 Xray, 2026-10-13</t>
        </is>
      </c>
      <c r="I100" s="60" t="n">
        <v>27.95</v>
      </c>
      <c r="J100" s="61" t="inlineStr">
        <is>
          <t>2026-03-30</t>
        </is>
      </c>
      <c r="K100" s="33" t="n">
        <v>10.91</v>
      </c>
      <c r="L100" s="62" t="n">
        <v>0.3903398926654739</v>
      </c>
      <c r="M100" s="63" t="n">
        <v>4</v>
      </c>
      <c r="N100" s="32" t="inlineStr">
        <is>
          <t>Active</t>
        </is>
      </c>
      <c r="O100" s="32" t="n"/>
      <c r="P100" s="64" t="n">
        <v>4.4</v>
      </c>
      <c r="Q100" s="63" t="n">
        <v>18632</v>
      </c>
      <c r="R100" s="63" t="n">
        <v>10006</v>
      </c>
      <c r="S100" s="63"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59" t="n">
        <v>27.95</v>
      </c>
      <c r="H101" s="32" t="inlineStr">
        <is>
          <t>Helium 10 Xray, 2026-10-13</t>
        </is>
      </c>
      <c r="I101" s="60" t="n">
        <v>22.49</v>
      </c>
      <c r="J101" s="61" t="inlineStr">
        <is>
          <t>2026-03-30</t>
        </is>
      </c>
      <c r="K101" s="33" t="n">
        <v>3.899999999999997</v>
      </c>
      <c r="L101" s="62" t="n">
        <v>0.1734104046242773</v>
      </c>
      <c r="M101" s="63" t="n">
        <v>4</v>
      </c>
      <c r="N101" s="32" t="inlineStr">
        <is>
          <t>Active</t>
        </is>
      </c>
      <c r="O101" s="32" t="n"/>
      <c r="P101" s="64" t="n">
        <v>4.4</v>
      </c>
      <c r="Q101" s="63" t="n">
        <v>18632</v>
      </c>
      <c r="R101" s="63" t="n">
        <v>10009</v>
      </c>
      <c r="S101" s="63"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59" t="n">
        <v>27.95</v>
      </c>
      <c r="H102" s="32" t="inlineStr">
        <is>
          <t>Helium 10 Xray, 2026-10-13</t>
        </is>
      </c>
      <c r="I102" s="60" t="n">
        <v>31.95</v>
      </c>
      <c r="J102" s="61" t="inlineStr">
        <is>
          <t>2026-03-30</t>
        </is>
      </c>
      <c r="K102" s="33" t="n">
        <v>11.79</v>
      </c>
      <c r="L102" s="62" t="n">
        <v>0.3690140845070423</v>
      </c>
      <c r="M102" s="63" t="n">
        <v>4</v>
      </c>
      <c r="N102" s="32" t="inlineStr">
        <is>
          <t>Active</t>
        </is>
      </c>
      <c r="O102" s="32" t="n"/>
      <c r="P102" s="64" t="n">
        <v>4.4</v>
      </c>
      <c r="Q102" s="63" t="n">
        <v>18632</v>
      </c>
      <c r="R102" s="63" t="n">
        <v>10009</v>
      </c>
      <c r="S102" s="63"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59" t="n">
        <v>27.95</v>
      </c>
      <c r="H103" s="32" t="inlineStr">
        <is>
          <t>Helium 10 Xray, 2026-10-13</t>
        </is>
      </c>
      <c r="I103" s="60" t="n">
        <v>27.95</v>
      </c>
      <c r="J103" s="61" t="inlineStr">
        <is>
          <t>2026-03-30</t>
        </is>
      </c>
      <c r="K103" s="33" t="n">
        <v>9.519999999999996</v>
      </c>
      <c r="L103" s="62" t="n">
        <v>0.3406082289803219</v>
      </c>
      <c r="M103" s="63" t="n">
        <v>4</v>
      </c>
      <c r="N103" s="32" t="inlineStr">
        <is>
          <t>Active</t>
        </is>
      </c>
      <c r="O103" s="32" t="n"/>
      <c r="P103" s="64" t="n">
        <v>4.4</v>
      </c>
      <c r="Q103" s="63" t="n">
        <v>18632</v>
      </c>
      <c r="R103" s="63" t="n">
        <v>10006</v>
      </c>
      <c r="S103" s="63"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0" t="n">
        <v>33.95</v>
      </c>
      <c r="J104" s="61" t="inlineStr">
        <is>
          <t>2026-03-30</t>
        </is>
      </c>
      <c r="K104" s="33" t="n">
        <v>9.430000000000001</v>
      </c>
      <c r="L104" s="62" t="n">
        <v>0.2777614138438881</v>
      </c>
      <c r="M104" s="63" t="n">
        <v>3</v>
      </c>
      <c r="N104" s="32" t="inlineStr">
        <is>
          <t>Inactive</t>
        </is>
      </c>
      <c r="O104" s="32" t="n"/>
      <c r="P104" s="64" t="n"/>
      <c r="Q104" s="63" t="n"/>
      <c r="R104" s="63" t="n"/>
      <c r="S104" s="63"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59" t="n">
        <v>27.95</v>
      </c>
      <c r="H105" s="32" t="inlineStr">
        <is>
          <t>Helium 10 Xray, 2026-10-13</t>
        </is>
      </c>
      <c r="I105" s="60" t="n">
        <v>35.95</v>
      </c>
      <c r="J105" s="61" t="inlineStr">
        <is>
          <t>2026-03-30</t>
        </is>
      </c>
      <c r="K105" s="33" t="n">
        <v>16.05</v>
      </c>
      <c r="L105" s="62" t="n">
        <v>0.4464534075104312</v>
      </c>
      <c r="M105" s="63" t="n">
        <v>3</v>
      </c>
      <c r="N105" s="32" t="inlineStr">
        <is>
          <t>Active</t>
        </is>
      </c>
      <c r="O105" s="32" t="n"/>
      <c r="P105" s="64" t="n">
        <v>4.4</v>
      </c>
      <c r="Q105" s="63" t="n">
        <v>18632</v>
      </c>
      <c r="R105" s="63" t="n">
        <v>10006</v>
      </c>
      <c r="S105" s="63"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59" t="n">
        <v>27.95</v>
      </c>
      <c r="H106" s="32" t="inlineStr">
        <is>
          <t>Helium 10 Xray, 2026-10-13</t>
        </is>
      </c>
      <c r="I106" s="60" t="n">
        <v>27.95</v>
      </c>
      <c r="J106" s="61" t="inlineStr">
        <is>
          <t>2026-03-30</t>
        </is>
      </c>
      <c r="K106" s="33" t="n">
        <v>9.809999999999999</v>
      </c>
      <c r="L106" s="62" t="n">
        <v>0.3509838998211091</v>
      </c>
      <c r="M106" s="63" t="n">
        <v>3</v>
      </c>
      <c r="N106" s="32" t="inlineStr">
        <is>
          <t>Active</t>
        </is>
      </c>
      <c r="O106" s="32" t="n"/>
      <c r="P106" s="64" t="n">
        <v>4.4</v>
      </c>
      <c r="Q106" s="63" t="n">
        <v>18632</v>
      </c>
      <c r="R106" s="63" t="n">
        <v>10009</v>
      </c>
      <c r="S106" s="63"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59" t="n">
        <v>27.95</v>
      </c>
      <c r="H107" s="32" t="inlineStr">
        <is>
          <t>Helium 10 Xray, 2026-10-13</t>
        </is>
      </c>
      <c r="I107" s="60" t="n">
        <v>27.95</v>
      </c>
      <c r="J107" s="61" t="inlineStr">
        <is>
          <t>2026-03-30</t>
        </is>
      </c>
      <c r="K107" s="33" t="n">
        <v>9.809999999999999</v>
      </c>
      <c r="L107" s="62" t="n">
        <v>0.3509838998211091</v>
      </c>
      <c r="M107" s="63" t="n">
        <v>3</v>
      </c>
      <c r="N107" s="32" t="inlineStr">
        <is>
          <t>Active</t>
        </is>
      </c>
      <c r="O107" s="32" t="n"/>
      <c r="P107" s="64" t="n">
        <v>4.4</v>
      </c>
      <c r="Q107" s="63" t="n">
        <v>18632</v>
      </c>
      <c r="R107" s="63" t="n">
        <v>10009</v>
      </c>
      <c r="S107" s="63"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59" t="n">
        <v>27.95</v>
      </c>
      <c r="H108" s="32" t="inlineStr">
        <is>
          <t>Helium 10 Xray, 2026-10-13</t>
        </is>
      </c>
      <c r="I108" s="60" t="n">
        <v>22.49</v>
      </c>
      <c r="J108" s="61" t="inlineStr">
        <is>
          <t>2026-03-30</t>
        </is>
      </c>
      <c r="K108" s="33" t="n">
        <v>3.519999999999996</v>
      </c>
      <c r="L108" s="62" t="n">
        <v>0.1565140062249887</v>
      </c>
      <c r="M108" s="63" t="n">
        <v>3</v>
      </c>
      <c r="N108" s="32" t="inlineStr">
        <is>
          <t>Active</t>
        </is>
      </c>
      <c r="O108" s="32" t="n"/>
      <c r="P108" s="64" t="n">
        <v>4.4</v>
      </c>
      <c r="Q108" s="63" t="n">
        <v>18632</v>
      </c>
      <c r="R108" s="63" t="n">
        <v>10006</v>
      </c>
      <c r="S108" s="63"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60" t="n">
        <v>31.95</v>
      </c>
      <c r="J109" s="61" t="inlineStr">
        <is>
          <t>2026-03-30</t>
        </is>
      </c>
      <c r="K109" s="33" t="n">
        <v>12.85</v>
      </c>
      <c r="L109" s="62" t="n">
        <v>0.4021909233176839</v>
      </c>
      <c r="M109" s="63" t="n">
        <v>3</v>
      </c>
      <c r="N109" s="32" t="inlineStr">
        <is>
          <t>Inactive</t>
        </is>
      </c>
      <c r="O109" s="32" t="n"/>
      <c r="P109" s="64" t="n"/>
      <c r="Q109" s="63" t="n"/>
      <c r="R109" s="63" t="n"/>
      <c r="S109" s="63"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59" t="n">
        <v>29.95</v>
      </c>
      <c r="H110" s="32" t="inlineStr">
        <is>
          <t>Helium 10 Xray, 2026-10-13</t>
        </is>
      </c>
      <c r="I110" s="60" t="n">
        <v>29.95</v>
      </c>
      <c r="J110" s="61" t="inlineStr">
        <is>
          <t>2026-03-30</t>
        </is>
      </c>
      <c r="K110" s="33" t="n">
        <v>9.270000000000003</v>
      </c>
      <c r="L110" s="62" t="n">
        <v>0.3095158597662772</v>
      </c>
      <c r="M110" s="63" t="n">
        <v>2</v>
      </c>
      <c r="N110" s="32" t="inlineStr">
        <is>
          <t>Active</t>
        </is>
      </c>
      <c r="O110" s="32" t="n"/>
      <c r="P110" s="64" t="n">
        <v>4.4</v>
      </c>
      <c r="Q110" s="63" t="n">
        <v>18632</v>
      </c>
      <c r="R110" s="63" t="n">
        <v>10006</v>
      </c>
      <c r="S110" s="63"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59" t="n">
        <v>33.95</v>
      </c>
      <c r="H111" s="32" t="inlineStr">
        <is>
          <t>Helium 10 Xray, 2026-10-13</t>
        </is>
      </c>
      <c r="I111" s="60" t="n">
        <v>33.95</v>
      </c>
      <c r="J111" s="61" t="inlineStr">
        <is>
          <t>2026-03-30</t>
        </is>
      </c>
      <c r="K111" s="33" t="n">
        <v>10.16</v>
      </c>
      <c r="L111" s="62" t="n">
        <v>0.2992636229749632</v>
      </c>
      <c r="M111" s="63" t="n">
        <v>2</v>
      </c>
      <c r="N111" s="32" t="inlineStr">
        <is>
          <t>Active</t>
        </is>
      </c>
      <c r="O111" s="32" t="n"/>
      <c r="P111" s="64" t="n">
        <v>4.4</v>
      </c>
      <c r="Q111" s="63" t="n">
        <v>18632</v>
      </c>
      <c r="R111" s="63" t="n">
        <v>10006</v>
      </c>
      <c r="S111" s="63"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59" t="n">
        <v>27.95</v>
      </c>
      <c r="H112" s="32" t="inlineStr">
        <is>
          <t>Helium 10 Xray, 2026-10-13</t>
        </is>
      </c>
      <c r="I112" s="60" t="n">
        <v>31.95</v>
      </c>
      <c r="J112" s="61" t="inlineStr">
        <is>
          <t>2026-03-30</t>
        </is>
      </c>
      <c r="K112" s="33" t="n">
        <v>12.4</v>
      </c>
      <c r="L112" s="62" t="n">
        <v>0.3881064162754304</v>
      </c>
      <c r="M112" s="63" t="n">
        <v>2</v>
      </c>
      <c r="N112" s="32" t="inlineStr">
        <is>
          <t>Active</t>
        </is>
      </c>
      <c r="O112" s="32" t="n"/>
      <c r="P112" s="64" t="n">
        <v>4.4</v>
      </c>
      <c r="Q112" s="63" t="n">
        <v>18632</v>
      </c>
      <c r="R112" s="63" t="n">
        <v>10009</v>
      </c>
      <c r="S112" s="63"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59" t="n">
        <v>27.95</v>
      </c>
      <c r="H113" s="32" t="inlineStr">
        <is>
          <t>Helium 10 Xray, 2026-10-13</t>
        </is>
      </c>
      <c r="I113" s="60" t="n">
        <v>41.95</v>
      </c>
      <c r="J113" s="61" t="inlineStr">
        <is>
          <t>2026-03-30</t>
        </is>
      </c>
      <c r="K113" s="33" t="n">
        <v>22.64</v>
      </c>
      <c r="L113" s="62" t="n">
        <v>0.5396901072705602</v>
      </c>
      <c r="M113" s="63" t="n">
        <v>2</v>
      </c>
      <c r="N113" s="32" t="inlineStr">
        <is>
          <t>Active</t>
        </is>
      </c>
      <c r="O113" s="32" t="n"/>
      <c r="P113" s="64" t="n">
        <v>4.4</v>
      </c>
      <c r="Q113" s="63" t="n">
        <v>18632</v>
      </c>
      <c r="R113" s="63" t="n">
        <v>10009</v>
      </c>
      <c r="S113" s="63"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59" t="n">
        <v>27.95</v>
      </c>
      <c r="H114" s="32" t="inlineStr">
        <is>
          <t>Helium 10 Xray, 2026-10-13</t>
        </is>
      </c>
      <c r="I114" s="60" t="n">
        <v>27.95</v>
      </c>
      <c r="J114" s="61" t="inlineStr">
        <is>
          <t>2026-03-30</t>
        </is>
      </c>
      <c r="K114" s="33" t="n">
        <v>10.3</v>
      </c>
      <c r="L114" s="62" t="n">
        <v>0.368515205724508</v>
      </c>
      <c r="M114" s="63" t="n">
        <v>2</v>
      </c>
      <c r="N114" s="32" t="inlineStr">
        <is>
          <t>Active</t>
        </is>
      </c>
      <c r="O114" s="32" t="n"/>
      <c r="P114" s="64" t="n">
        <v>4.4</v>
      </c>
      <c r="Q114" s="63" t="n">
        <v>18632</v>
      </c>
      <c r="R114" s="63" t="n">
        <v>10006</v>
      </c>
      <c r="S114" s="63"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59" t="n">
        <v>27.95</v>
      </c>
      <c r="H115" s="32" t="inlineStr">
        <is>
          <t>Helium 10 Xray, 2026-10-13</t>
        </is>
      </c>
      <c r="I115" s="60" t="n">
        <v>27.95</v>
      </c>
      <c r="J115" s="61" t="inlineStr">
        <is>
          <t>2026-03-30</t>
        </is>
      </c>
      <c r="K115" s="33" t="n">
        <v>10.27</v>
      </c>
      <c r="L115" s="62" t="n">
        <v>0.3674418604651163</v>
      </c>
      <c r="M115" s="63" t="n">
        <v>2</v>
      </c>
      <c r="N115" s="32" t="inlineStr">
        <is>
          <t>Active</t>
        </is>
      </c>
      <c r="O115" s="32" t="n"/>
      <c r="P115" s="64" t="n">
        <v>4.4</v>
      </c>
      <c r="Q115" s="63" t="n">
        <v>18632</v>
      </c>
      <c r="R115" s="63" t="n">
        <v>10006</v>
      </c>
      <c r="S115" s="63"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60" t="n">
        <v>33.95</v>
      </c>
      <c r="J116" s="61" t="inlineStr">
        <is>
          <t>2026-03-30</t>
        </is>
      </c>
      <c r="K116" s="33" t="n">
        <v>9.700000000000001</v>
      </c>
      <c r="L116" s="62" t="n">
        <v>0.2857142857142857</v>
      </c>
      <c r="M116" s="63" t="n">
        <v>1</v>
      </c>
      <c r="N116" s="32" t="inlineStr">
        <is>
          <t>Inactive</t>
        </is>
      </c>
      <c r="O116" s="32" t="n"/>
      <c r="P116" s="64" t="n"/>
      <c r="Q116" s="63" t="n"/>
      <c r="R116" s="63" t="n"/>
      <c r="S116" s="63"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60" t="n">
        <v>31.95</v>
      </c>
      <c r="J117" s="61" t="inlineStr">
        <is>
          <t>2026-03-30</t>
        </is>
      </c>
      <c r="K117" s="33" t="n">
        <v>7.559999999999999</v>
      </c>
      <c r="L117" s="62" t="n">
        <v>0.2366197183098591</v>
      </c>
      <c r="M117" s="63" t="n">
        <v>1</v>
      </c>
      <c r="N117" s="32" t="inlineStr">
        <is>
          <t>Inactive</t>
        </is>
      </c>
      <c r="O117" s="32" t="n"/>
      <c r="P117" s="64" t="n"/>
      <c r="Q117" s="63" t="n"/>
      <c r="R117" s="63" t="n"/>
      <c r="S117" s="63"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59" t="n">
        <v>27.95</v>
      </c>
      <c r="H118" s="32" t="inlineStr">
        <is>
          <t>Helium 10 Xray, 2026-10-13</t>
        </is>
      </c>
      <c r="I118" s="60" t="n">
        <v>43.95</v>
      </c>
      <c r="J118" s="61" t="inlineStr">
        <is>
          <t>2026-03-30</t>
        </is>
      </c>
      <c r="K118" s="33" t="n">
        <v>23.9</v>
      </c>
      <c r="L118" s="62" t="n">
        <v>0.5437997724687144</v>
      </c>
      <c r="M118" s="63" t="n">
        <v>1</v>
      </c>
      <c r="N118" s="32" t="inlineStr">
        <is>
          <t>Active</t>
        </is>
      </c>
      <c r="O118" s="32" t="n"/>
      <c r="P118" s="64" t="n">
        <v>4.4</v>
      </c>
      <c r="Q118" s="63" t="n">
        <v>18632</v>
      </c>
      <c r="R118" s="63" t="n">
        <v>10006</v>
      </c>
      <c r="S118" s="63"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59" t="n">
        <v>27.95</v>
      </c>
      <c r="H119" s="32" t="inlineStr">
        <is>
          <t>Helium 10 Xray, 2026-10-13</t>
        </is>
      </c>
      <c r="I119" s="60" t="n">
        <v>39.95</v>
      </c>
      <c r="J119" s="61" t="inlineStr">
        <is>
          <t>2026-03-30</t>
        </is>
      </c>
      <c r="K119" s="33" t="n">
        <v>19.34</v>
      </c>
      <c r="L119" s="62" t="n">
        <v>0.4841051314142678</v>
      </c>
      <c r="M119" s="63" t="n">
        <v>1</v>
      </c>
      <c r="N119" s="32" t="inlineStr">
        <is>
          <t>Active</t>
        </is>
      </c>
      <c r="O119" s="32" t="n"/>
      <c r="P119" s="64" t="n">
        <v>4.4</v>
      </c>
      <c r="Q119" s="63" t="n">
        <v>18632</v>
      </c>
      <c r="R119" s="63" t="n">
        <v>10009</v>
      </c>
      <c r="S119" s="63"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59" t="n">
        <v>27.95</v>
      </c>
      <c r="H120" s="32" t="inlineStr">
        <is>
          <t>Helium 10 Xray, 2026-10-13</t>
        </is>
      </c>
      <c r="I120" s="60" t="n">
        <v>42.95</v>
      </c>
      <c r="J120" s="61" t="inlineStr">
        <is>
          <t>2026-03-30</t>
        </is>
      </c>
      <c r="K120" s="33" t="n">
        <v>21.38</v>
      </c>
      <c r="L120" s="62" t="n">
        <v>0.4977881257275902</v>
      </c>
      <c r="M120" s="63" t="n">
        <v>1</v>
      </c>
      <c r="N120" s="32" t="inlineStr">
        <is>
          <t>Active</t>
        </is>
      </c>
      <c r="O120" s="32" t="n"/>
      <c r="P120" s="64" t="n">
        <v>4.4</v>
      </c>
      <c r="Q120" s="63" t="n">
        <v>18632</v>
      </c>
      <c r="R120" s="63" t="n">
        <v>10009</v>
      </c>
      <c r="S120" s="63"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60" t="n">
        <v>47.95</v>
      </c>
      <c r="J121" s="61" t="inlineStr">
        <is>
          <t>2026-03-30</t>
        </is>
      </c>
      <c r="K121" s="33" t="n">
        <v>25.05</v>
      </c>
      <c r="L121" s="62" t="n">
        <v>0.5224191866527633</v>
      </c>
      <c r="M121" s="63" t="n">
        <v>0</v>
      </c>
      <c r="N121" s="32" t="inlineStr">
        <is>
          <t>Inactive</t>
        </is>
      </c>
      <c r="O121" s="32" t="n"/>
      <c r="P121" s="64" t="n"/>
      <c r="Q121" s="63" t="n"/>
      <c r="R121" s="63" t="n"/>
      <c r="S121" s="63"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60" t="n">
        <v>29.95</v>
      </c>
      <c r="J122" s="61" t="inlineStr">
        <is>
          <t>2026-03-30</t>
        </is>
      </c>
      <c r="K122" s="33" t="n">
        <v>9.920000000000002</v>
      </c>
      <c r="L122" s="62" t="n">
        <v>0.3312186978297162</v>
      </c>
      <c r="M122" s="63" t="n"/>
      <c r="N122" s="32" t="inlineStr">
        <is>
          <t>Inactive</t>
        </is>
      </c>
      <c r="O122" s="32" t="n"/>
      <c r="P122" s="64" t="n"/>
      <c r="Q122" s="63" t="n"/>
      <c r="R122" s="63" t="n"/>
      <c r="S122" s="63"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59" t="n">
        <v>29.95</v>
      </c>
      <c r="H123" s="32" t="inlineStr">
        <is>
          <t>Helium 10 Xray, 2026-10-13</t>
        </is>
      </c>
      <c r="I123" s="60" t="n">
        <v>29.95</v>
      </c>
      <c r="J123" s="61" t="inlineStr">
        <is>
          <t>2026-03-30</t>
        </is>
      </c>
      <c r="K123" s="33" t="n">
        <v>9.090000000000002</v>
      </c>
      <c r="L123" s="62" t="n">
        <v>0.3035058430717864</v>
      </c>
      <c r="M123" s="63" t="n">
        <v>0</v>
      </c>
      <c r="N123" s="32" t="inlineStr">
        <is>
          <t>Active</t>
        </is>
      </c>
      <c r="O123" s="32" t="n"/>
      <c r="P123" s="64" t="n">
        <v>4.4</v>
      </c>
      <c r="Q123" s="63" t="n">
        <v>18632</v>
      </c>
      <c r="R123" s="63" t="n">
        <v>10006</v>
      </c>
      <c r="S123" s="63"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2" t="n"/>
      <c r="M124" s="63" t="n"/>
      <c r="N124" s="32" t="inlineStr">
        <is>
          <t>Inactive</t>
        </is>
      </c>
      <c r="O124" s="32" t="n"/>
      <c r="P124" s="64" t="n"/>
      <c r="Q124" s="63" t="n"/>
      <c r="R124" s="63" t="n"/>
      <c r="S124" s="63"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60" t="n">
        <v>48.95</v>
      </c>
      <c r="J125" s="61" t="inlineStr">
        <is>
          <t>2026-03-30</t>
        </is>
      </c>
      <c r="K125" s="33" t="n">
        <v>23.88999999999999</v>
      </c>
      <c r="L125" s="62" t="n">
        <v>0.4880490296220631</v>
      </c>
      <c r="M125" s="63" t="n"/>
      <c r="N125" s="32" t="inlineStr">
        <is>
          <t>Inactive</t>
        </is>
      </c>
      <c r="O125" s="32" t="n"/>
      <c r="P125" s="64" t="n"/>
      <c r="Q125" s="63" t="n"/>
      <c r="R125" s="63" t="n"/>
      <c r="S125" s="63"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60" t="n">
        <v>47.95</v>
      </c>
      <c r="J126" s="61" t="inlineStr">
        <is>
          <t>2026-03-30</t>
        </is>
      </c>
      <c r="K126" s="33" t="n">
        <v>22.22000000000001</v>
      </c>
      <c r="L126" s="62" t="n">
        <v>0.4633993743482795</v>
      </c>
      <c r="M126" s="63" t="n">
        <v>0</v>
      </c>
      <c r="N126" s="32" t="inlineStr">
        <is>
          <t>Inactive</t>
        </is>
      </c>
      <c r="O126" s="32" t="n"/>
      <c r="P126" s="64" t="n"/>
      <c r="Q126" s="63" t="n"/>
      <c r="R126" s="63" t="n"/>
      <c r="S126" s="63"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60" t="n">
        <v>50.95</v>
      </c>
      <c r="J127" s="61" t="inlineStr">
        <is>
          <t>2026-03-30</t>
        </is>
      </c>
      <c r="K127" s="33" t="n">
        <v>23.65</v>
      </c>
      <c r="L127" s="62" t="n">
        <v>0.4641805691854759</v>
      </c>
      <c r="M127" s="63" t="n"/>
      <c r="N127" s="32" t="inlineStr">
        <is>
          <t>Inactive</t>
        </is>
      </c>
      <c r="O127" s="32" t="n"/>
      <c r="P127" s="64" t="n"/>
      <c r="Q127" s="63" t="n"/>
      <c r="R127" s="63" t="n"/>
      <c r="S127" s="63"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60" t="n">
        <v>33.95</v>
      </c>
      <c r="J128" s="61" t="inlineStr">
        <is>
          <t>2026-03-30</t>
        </is>
      </c>
      <c r="K128" s="33" t="n">
        <v>10</v>
      </c>
      <c r="L128" s="62" t="n">
        <v>0.2945508100147275</v>
      </c>
      <c r="M128" s="63" t="n"/>
      <c r="N128" s="32" t="inlineStr">
        <is>
          <t>Inactive</t>
        </is>
      </c>
      <c r="O128" s="32" t="n"/>
      <c r="P128" s="64" t="n"/>
      <c r="Q128" s="63" t="n"/>
      <c r="R128" s="63" t="n"/>
      <c r="S128" s="63"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60" t="n">
        <v>33.95</v>
      </c>
      <c r="J129" s="61" t="inlineStr">
        <is>
          <t>2026-03-30</t>
        </is>
      </c>
      <c r="K129" s="33" t="n">
        <v>9.570000000000004</v>
      </c>
      <c r="L129" s="62" t="n">
        <v>0.2818851251840944</v>
      </c>
      <c r="M129" s="63" t="n"/>
      <c r="N129" s="32" t="inlineStr">
        <is>
          <t>Inactive</t>
        </is>
      </c>
      <c r="O129" s="32" t="n"/>
      <c r="P129" s="64" t="n"/>
      <c r="Q129" s="63" t="n"/>
      <c r="R129" s="63" t="n"/>
      <c r="S129" s="63"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60" t="n">
        <v>33.95</v>
      </c>
      <c r="J130" s="61" t="inlineStr">
        <is>
          <t>2026-03-30</t>
        </is>
      </c>
      <c r="K130" s="33" t="n">
        <v>9.540000000000003</v>
      </c>
      <c r="L130" s="62" t="n">
        <v>0.2810014727540501</v>
      </c>
      <c r="M130" s="63" t="n"/>
      <c r="N130" s="32" t="inlineStr">
        <is>
          <t>Inactive</t>
        </is>
      </c>
      <c r="O130" s="32" t="n"/>
      <c r="P130" s="64" t="n"/>
      <c r="Q130" s="63" t="n"/>
      <c r="R130" s="63" t="n"/>
      <c r="S130" s="63"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60" t="n">
        <v>33.95</v>
      </c>
      <c r="J131" s="61" t="inlineStr">
        <is>
          <t>2026-03-30</t>
        </is>
      </c>
      <c r="K131" s="33" t="n">
        <v>10.55</v>
      </c>
      <c r="L131" s="62" t="n">
        <v>0.3107511045655377</v>
      </c>
      <c r="M131" s="63" t="n"/>
      <c r="N131" s="32" t="inlineStr">
        <is>
          <t>Inactive</t>
        </is>
      </c>
      <c r="O131" s="32" t="n"/>
      <c r="P131" s="64" t="n"/>
      <c r="Q131" s="63" t="n"/>
      <c r="R131" s="63" t="n"/>
      <c r="S131" s="63"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2" t="n"/>
      <c r="M132" s="63" t="n"/>
      <c r="N132" s="32" t="inlineStr">
        <is>
          <t>Inactive</t>
        </is>
      </c>
      <c r="O132" s="32" t="n"/>
      <c r="P132" s="64" t="n"/>
      <c r="Q132" s="63" t="n"/>
      <c r="R132" s="63" t="n"/>
      <c r="S132" s="63"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60" t="n">
        <v>31.95</v>
      </c>
      <c r="J133" s="61" t="inlineStr">
        <is>
          <t>2026-03-30</t>
        </is>
      </c>
      <c r="K133" s="33" t="n">
        <v>10.81</v>
      </c>
      <c r="L133" s="62" t="n">
        <v>0.3383411580594679</v>
      </c>
      <c r="M133" s="63" t="n"/>
      <c r="N133" s="32" t="inlineStr">
        <is>
          <t>Inactive</t>
        </is>
      </c>
      <c r="O133" s="32" t="n"/>
      <c r="P133" s="64" t="n"/>
      <c r="Q133" s="63" t="n"/>
      <c r="R133" s="63" t="n"/>
      <c r="S133" s="63"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2" t="n"/>
      <c r="M134" s="63" t="n"/>
      <c r="N134" s="32" t="inlineStr">
        <is>
          <t>Inactive</t>
        </is>
      </c>
      <c r="O134" s="32" t="n"/>
      <c r="P134" s="64" t="n"/>
      <c r="Q134" s="63" t="n"/>
      <c r="R134" s="63" t="n"/>
      <c r="S134" s="63"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59" t="n">
        <v>27.95</v>
      </c>
      <c r="H135" s="32" t="inlineStr">
        <is>
          <t>Helium 10 Xray, 2026-10-13</t>
        </is>
      </c>
      <c r="I135" s="60" t="n">
        <v>22.49</v>
      </c>
      <c r="J135" s="61" t="inlineStr">
        <is>
          <t>2026-03-30</t>
        </is>
      </c>
      <c r="K135" s="33" t="n">
        <v>4.619999999999997</v>
      </c>
      <c r="L135" s="62" t="n">
        <v>0.2054246331702978</v>
      </c>
      <c r="M135" s="63" t="n">
        <v>0</v>
      </c>
      <c r="N135" s="32" t="inlineStr">
        <is>
          <t>Active</t>
        </is>
      </c>
      <c r="O135" s="32" t="n"/>
      <c r="P135" s="64" t="n">
        <v>4.4</v>
      </c>
      <c r="Q135" s="63" t="n">
        <v>18632</v>
      </c>
      <c r="R135" s="63" t="n">
        <v>10009</v>
      </c>
      <c r="S135" s="63" t="n">
        <v>16</v>
      </c>
      <c r="T135" s="32" t="n"/>
    </row>
    <row r="137" ht="20" customHeight="1">
      <c r="A137" s="53" t="inlineStr">
        <is>
          <t>3 · OUR BFCM 2025 RESULT &amp; EVENT VISIBILITY</t>
        </is>
      </c>
    </row>
    <row r="138">
      <c r="A138" s="66" t="inlineStr">
        <is>
          <t>Window</t>
        </is>
      </c>
      <c r="B138" s="67" t="n"/>
      <c r="C138" s="68" t="n"/>
      <c r="D138" s="66" t="inlineStr">
        <is>
          <t>Ad spend</t>
        </is>
      </c>
      <c r="E138" s="66" t="inlineStr">
        <is>
          <t>Ad sales</t>
        </is>
      </c>
      <c r="F138" s="66" t="inlineStr">
        <is>
          <t>ACoS</t>
        </is>
      </c>
      <c r="G138" s="66" t="inlineStr">
        <is>
          <t>TACoS</t>
        </is>
      </c>
      <c r="H138" s="66" t="inlineStr">
        <is>
          <t>Total sales (derived)</t>
        </is>
      </c>
      <c r="J138" s="66" t="inlineStr">
        <is>
          <t>Ad orders</t>
        </is>
      </c>
      <c r="K138" s="66" t="inlineStr">
        <is>
          <t>CVR</t>
        </is>
      </c>
    </row>
    <row r="139">
      <c r="A139" s="69" t="inlineStr">
        <is>
          <t>Pre-event Oct 21 - Nov 19, 2025 (30d)</t>
        </is>
      </c>
      <c r="B139" s="67" t="n"/>
      <c r="C139" s="68" t="n"/>
      <c r="D139" s="70" t="n">
        <v>14432.27</v>
      </c>
      <c r="E139" s="70" t="n">
        <v>47769.10000000001</v>
      </c>
      <c r="F139" s="71" t="n">
        <v>30.2</v>
      </c>
      <c r="G139" s="71" t="n">
        <v>10.42259841667862</v>
      </c>
      <c r="H139" s="70" t="n">
        <v>138470.94</v>
      </c>
      <c r="J139" s="72" t="n">
        <v>1478</v>
      </c>
      <c r="K139" s="73" t="n">
        <v>13.75</v>
      </c>
    </row>
    <row r="140">
      <c r="A140" s="69" t="inlineStr">
        <is>
          <t>BFCM week Nov 20 - Dec 1, 2025 (12d)</t>
        </is>
      </c>
      <c r="B140" s="67" t="n"/>
      <c r="C140" s="68" t="n"/>
      <c r="D140" s="70" t="n">
        <v>7096.91</v>
      </c>
      <c r="E140" s="70" t="n">
        <v>33533.42</v>
      </c>
      <c r="F140" s="71" t="n">
        <v>21.2</v>
      </c>
      <c r="G140" s="71" t="n">
        <v>4.860525396789848</v>
      </c>
      <c r="H140" s="70" t="n">
        <v>146011.17</v>
      </c>
      <c r="J140" s="72" t="n">
        <v>1116</v>
      </c>
      <c r="K140" s="73" t="n">
        <v>18.92</v>
      </c>
    </row>
    <row r="141">
      <c r="A141" s="69" t="inlineStr">
        <is>
          <t>December 2 - 31, 2025 (30d)</t>
        </is>
      </c>
      <c r="B141" s="67" t="n"/>
      <c r="C141" s="68" t="n"/>
      <c r="D141" s="70" t="n">
        <v>22104.71</v>
      </c>
      <c r="E141" s="70" t="n">
        <v>92605.79000000001</v>
      </c>
      <c r="F141" s="71" t="n">
        <v>23.9</v>
      </c>
      <c r="G141" s="71" t="n">
        <v>8.247848544454847</v>
      </c>
      <c r="H141" s="70" t="n">
        <v>268005.77</v>
      </c>
      <c r="J141" s="72" t="n">
        <v>2934</v>
      </c>
      <c r="K141" s="73" t="n">
        <v>17.95</v>
      </c>
    </row>
    <row r="143">
      <c r="A143" s="66" t="inlineStr">
        <is>
          <t>Actual sales (SellerBoard)</t>
        </is>
      </c>
      <c r="B143" s="67" t="n"/>
      <c r="C143" s="68" t="n"/>
      <c r="D143" s="66" t="inlineStr">
        <is>
          <t>Sales</t>
        </is>
      </c>
      <c r="E143" s="66" t="inlineStr">
        <is>
          <t>Units</t>
        </is>
      </c>
      <c r="F143" s="66" t="inlineStr">
        <is>
          <t>Organic units</t>
        </is>
      </c>
      <c r="G143" s="66" t="inlineStr">
        <is>
          <t>Ad units</t>
        </is>
      </c>
      <c r="H143" s="66" t="inlineStr">
        <is>
          <t>Ad cost</t>
        </is>
      </c>
      <c r="J143" s="66" t="inlineStr">
        <is>
          <t>TACoS (actual)</t>
        </is>
      </c>
      <c r="K143" s="66" t="inlineStr">
        <is>
          <t>Sessions</t>
        </is>
      </c>
      <c r="L143" s="66" t="inlineStr">
        <is>
          <t>Unit session %</t>
        </is>
      </c>
      <c r="M143" s="66" t="inlineStr">
        <is>
          <t>Avg price</t>
        </is>
      </c>
      <c r="N143" s="66" t="inlineStr">
        <is>
          <t>Refunds</t>
        </is>
      </c>
    </row>
    <row r="144">
      <c r="A144" s="69" t="inlineStr">
        <is>
          <t>Pre-event Oct 21 - Nov 19, 2025 (30d)</t>
        </is>
      </c>
      <c r="B144" s="67" t="n"/>
      <c r="C144" s="68" t="n"/>
      <c r="D144" s="70" t="n">
        <v>138273.24</v>
      </c>
      <c r="E144" s="72" t="n">
        <v>4334</v>
      </c>
      <c r="F144" s="72" t="n">
        <v>3992</v>
      </c>
      <c r="G144" s="72" t="n">
        <v>342</v>
      </c>
      <c r="H144" s="70" t="n">
        <v>20798.83</v>
      </c>
      <c r="J144" s="74" t="n">
        <v>0.150418331124663</v>
      </c>
      <c r="K144" s="72" t="n">
        <v>69580</v>
      </c>
      <c r="L144" s="74" t="n">
        <v>0.06228801379706812</v>
      </c>
      <c r="M144" s="75" t="n">
        <v>31.90430087678818</v>
      </c>
      <c r="N144" s="72" t="n">
        <v>199</v>
      </c>
    </row>
    <row r="145">
      <c r="A145" s="69" t="inlineStr">
        <is>
          <t>BFCM week Nov 20 - Dec 1, 2025 (12d)</t>
        </is>
      </c>
      <c r="B145" s="67" t="n"/>
      <c r="C145" s="68" t="n"/>
      <c r="D145" s="70" t="n">
        <v>145858.84</v>
      </c>
      <c r="E145" s="72" t="n">
        <v>4995</v>
      </c>
      <c r="F145" s="72" t="n">
        <v>4737</v>
      </c>
      <c r="G145" s="72" t="n">
        <v>258</v>
      </c>
      <c r="H145" s="70" t="n">
        <v>11715.29</v>
      </c>
      <c r="J145" s="74" t="n">
        <v>0.08031936905572538</v>
      </c>
      <c r="K145" s="72" t="n">
        <v>82662</v>
      </c>
      <c r="L145" s="74" t="n">
        <v>0.06042679828700007</v>
      </c>
      <c r="M145" s="75" t="n">
        <v>29.20096896896897</v>
      </c>
      <c r="N145" s="72" t="n">
        <v>97</v>
      </c>
    </row>
    <row r="146">
      <c r="A146" s="69" t="inlineStr">
        <is>
          <t>December 2 - 31, 2025 (30d)</t>
        </is>
      </c>
      <c r="B146" s="67" t="n"/>
      <c r="C146" s="68" t="n"/>
      <c r="D146" s="70" t="n">
        <v>267242.58</v>
      </c>
      <c r="E146" s="72" t="n">
        <v>8497</v>
      </c>
      <c r="F146" s="72" t="n">
        <v>7799</v>
      </c>
      <c r="G146" s="72" t="n">
        <v>698</v>
      </c>
      <c r="H146" s="70" t="n">
        <v>29328.07</v>
      </c>
      <c r="J146" s="74" t="n">
        <v>0.1097432527406374</v>
      </c>
      <c r="K146" s="72" t="n">
        <v>112119</v>
      </c>
      <c r="L146" s="74" t="n">
        <v>0.07578554928245881</v>
      </c>
      <c r="M146" s="75" t="n">
        <v>31.45140402494998</v>
      </c>
      <c r="N146" s="72" t="n">
        <v>386</v>
      </c>
    </row>
    <row r="147">
      <c r="A147" s="58" t="inlineStr">
        <is>
          <t>SellerBoard, Ecotero account, Amazon parent B0H631FLT8 plus any of this product's child ASINs SellerBoard lists on their own, UTC days. Lift above uses these actual sales (2.64x; the ad-spend estimate was 2.64x).</t>
        </is>
      </c>
    </row>
    <row r="148" ht="30" customHeight="1">
      <c r="A148" s="76"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7" t="inlineStr">
        <is>
          <t>BFCM 2026 plan (BM, Oct 15, 2026): Best Deal 11/19-11/30. Deal price and depth not yet given; not yet visible in Amazon's deal feed.</t>
        </is>
      </c>
    </row>
    <row r="150" ht="30" customHeight="1">
      <c r="A150" s="78" t="inlineStr">
        <is>
          <t>Amazon deal price now (Slack): Max deal prices have reset: 10% off the current price. Queen Black $29.95 live: about $26.96 at BFCM if the lookback stays clean, about $25.61 if the Oct 16 Best Deal runs. [Umair Tahir, #4-pc-satin-sheet, 2026-10-15]</t>
        </is>
      </c>
    </row>
    <row r="151" ht="30" customHeight="1">
      <c r="A151" s="78" t="inlineStr">
        <is>
          <t>Pre-BFCM deal decision (Slack): Oct 16-28 Best Deal: Erik Fisher recommends cancelling (fee needs ~1.6x sales; the Aug deal lifted 1.37x). S4 BFCM Best Deal confirmed Nov 19-30 in US and CA. [Umair Tahir, #4-pc-satin-sheet, 2026-10-15]</t>
        </is>
      </c>
    </row>
    <row r="152" ht="18" customHeight="1">
      <c r="A152" s="79" t="inlineStr">
        <is>
          <t>ASSUMED 2026 deal prices, until BM's final: B0839MKJMV today $29.95; $25.46 at 15% off (Nov 19-26) and $23.96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53" ht="30" customHeight="1">
      <c r="A153" s="76"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4" ht="40" customHeight="1">
      <c r="A154" s="76"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5">
      <c r="A155" s="58" t="inlineStr">
        <is>
          <t>Command Center visibility for our best child B0839MKJMV: organic score 123.9 before BFCM 2025 → 163.2 in BFCM week; Prime Day 2026 33.4 → 41.5; Aug-Sep 2026 163.5.</t>
        </is>
      </c>
    </row>
    <row r="157" ht="20" customHeight="1">
      <c r="A157" s="53" t="inlineStr">
        <is>
          <t>4 · COMPETITOR LANDSCAPE (26 mapped)</t>
        </is>
      </c>
    </row>
    <row r="158">
      <c r="A158" s="58" t="inlineStr">
        <is>
          <t>Sorted by tier, then estimated weekly units. Green = Command Center price/sales; blue = Data Dive listing; purple = Command Center search strategy (ASINsight); yellow = fill from Keepa / page check.</t>
        </is>
      </c>
    </row>
    <row r="159">
      <c r="A159" s="80" t="inlineStr">
        <is>
          <t>COMPETITOR</t>
        </is>
      </c>
      <c r="I159" s="81" t="inlineStr">
        <is>
          <t>LISTING - Data Dive</t>
        </is>
      </c>
      <c r="J159" s="82" t="inlineStr">
        <is>
          <t>SEARCH STRATEGY - Command Center ASINsight</t>
        </is>
      </c>
      <c r="K159" s="83" t="inlineStr">
        <is>
          <t>PRICE &amp; SALES - Command Center snapshot (date per row)</t>
        </is>
      </c>
      <c r="X159" s="81" t="inlineStr">
        <is>
          <t>LISTING - Data Dive</t>
        </is>
      </c>
      <c r="AA159" s="82" t="inlineStr">
        <is>
          <t>SEARCH STRATEGY - Command Center ASINsight</t>
        </is>
      </c>
      <c r="AR159" s="84" t="inlineStr">
        <is>
          <t>STR NOW - Amazon page check (Oct 13, P1 + P2)</t>
        </is>
      </c>
      <c r="AY159" s="85" t="inlineStr">
        <is>
          <t>BFCM 2025 - Keepa (P1 filled; yellow = not pulled yet)</t>
        </is>
      </c>
    </row>
    <row r="160" ht="48" customHeight="1">
      <c r="A160" s="22" t="inlineStr">
        <is>
          <t>Image</t>
        </is>
      </c>
      <c r="B160" s="22" t="inlineStr">
        <is>
          <t>Brand</t>
        </is>
      </c>
      <c r="C160" s="22" t="inlineStr">
        <is>
          <t>Product title</t>
        </is>
      </c>
      <c r="D160" s="22" t="inlineStr">
        <is>
          <t>Tier</t>
        </is>
      </c>
      <c r="E160" s="22" t="inlineStr">
        <is>
          <t>Parent ASIN</t>
        </is>
      </c>
      <c r="F160" s="22" t="inlineStr">
        <is>
          <t>Tracked child ASIN</t>
        </is>
      </c>
      <c r="G160" s="22" t="inlineStr">
        <is>
          <t>Size</t>
        </is>
      </c>
      <c r="H160" s="22" t="inlineStr">
        <is>
          <t>Colour</t>
        </is>
      </c>
      <c r="I160" s="22" t="inlineStr">
        <is>
          <t>Variations</t>
        </is>
      </c>
      <c r="J160" s="22" t="inlineStr">
        <is>
          <t>Hero child ASINs (share of their visibility)</t>
        </is>
      </c>
      <c r="K160" s="22" t="inlineStr">
        <is>
          <t>Price ($)</t>
        </is>
      </c>
      <c r="L160" s="22" t="inlineStr">
        <is>
          <t>List Price ($)</t>
        </is>
      </c>
      <c r="M160" s="22" t="inlineStr">
        <is>
          <t>List Price % over</t>
        </is>
      </c>
      <c r="N160" s="22" t="inlineStr">
        <is>
          <t>STR band</t>
        </is>
      </c>
      <c r="O160" s="22" t="inlineStr">
        <is>
          <t>Our price, same size ($)</t>
        </is>
      </c>
      <c r="P160" s="22" t="inlineStr">
        <is>
          <t>Their price vs ours</t>
        </is>
      </c>
      <c r="Q160" s="22" t="inlineStr">
        <is>
          <t>Comparison basis</t>
        </is>
      </c>
      <c r="R160" s="22" t="inlineStr">
        <is>
          <t>BSR</t>
        </is>
      </c>
      <c r="S160" s="22" t="inlineStr">
        <is>
          <t>Est weekly units</t>
        </is>
      </c>
      <c r="T160" s="22" t="inlineStr">
        <is>
          <t>Est monthly revenue ($)</t>
        </is>
      </c>
      <c r="U160" s="22" t="inlineStr">
        <is>
          <t>Rating</t>
        </is>
      </c>
      <c r="V160" s="22" t="inlineStr">
        <is>
          <t>Reviews</t>
        </is>
      </c>
      <c r="W160" s="22" t="inlineStr">
        <is>
          <t>Snapshot date</t>
        </is>
      </c>
      <c r="X160" s="22" t="inlineStr">
        <is>
          <t>Listed</t>
        </is>
      </c>
      <c r="Y160" s="22" t="inlineStr">
        <is>
          <t>Fulfil.</t>
        </is>
      </c>
      <c r="Z160" s="22" t="inlineStr">
        <is>
          <t>Seller country</t>
        </is>
      </c>
      <c r="AA160" s="22" t="inlineStr">
        <is>
          <t>ASINsight 7d traffic</t>
        </is>
      </c>
      <c r="AB160" s="22" t="inlineStr">
        <is>
          <t>Keywords ranked</t>
        </is>
      </c>
      <c r="AC160" s="22" t="inlineStr">
        <is>
          <t>Organic share of traffic</t>
        </is>
      </c>
      <c r="AD160" s="22" t="inlineStr">
        <is>
          <t>Ad share of traffic</t>
        </is>
      </c>
      <c r="AE160" s="22" t="inlineStr">
        <is>
          <t>Top keyword</t>
        </is>
      </c>
      <c r="AF160" s="22" t="inlineStr">
        <is>
          <t>SP reach</t>
        </is>
      </c>
      <c r="AG160" s="22" t="inlineStr">
        <is>
          <t>SB reach</t>
        </is>
      </c>
      <c r="AH160" s="22" t="inlineStr">
        <is>
          <t>SB video reach</t>
        </is>
      </c>
      <c r="AI160" s="22" t="inlineStr">
        <is>
          <t>Amazon's Choice reach</t>
        </is>
      </c>
      <c r="AJ160" s="22" t="inlineStr">
        <is>
          <t>Shared keywords</t>
        </is>
      </c>
      <c r="AK160" s="22" t="inlineStr">
        <is>
          <t>We win</t>
        </is>
      </c>
      <c r="AL160" s="22" t="inlineStr">
        <is>
          <t>We lose</t>
        </is>
      </c>
      <c r="AM160" s="22" t="inlineStr">
        <is>
          <t>Their keywords we miss</t>
        </is>
      </c>
      <c r="AN160" s="22" t="inlineStr">
        <is>
          <t>KWs they advertise, we don't</t>
        </is>
      </c>
      <c r="AO160" s="22" t="inlineStr">
        <is>
          <t>KWs they out-advertise us</t>
        </is>
      </c>
      <c r="AP160" s="22" t="inlineStr">
        <is>
          <t>Prime Day 2026 organic vis lift</t>
        </is>
      </c>
      <c r="AQ160" s="22" t="inlineStr">
        <is>
          <t>Organic trend (Aug-Sep vs Q2)</t>
        </is>
      </c>
      <c r="AR160" s="22" t="inlineStr">
        <is>
          <t>STR showing now? (Y/N)</t>
        </is>
      </c>
      <c r="AS160" s="22" t="inlineStr">
        <is>
          <t>STR label</t>
        </is>
      </c>
      <c r="AT160" s="22" t="inlineStr">
        <is>
          <t>Strikethrough price ($)</t>
        </is>
      </c>
      <c r="AU160" s="22" t="inlineStr">
        <is>
          <t>Page price at check ($)</t>
        </is>
      </c>
      <c r="AV160" s="22" t="inlineStr">
        <is>
          <t>Deal / coupon now</t>
        </is>
      </c>
      <c r="AW160" s="22" t="inlineStr">
        <is>
          <t>Orderable now (Y/N)</t>
        </is>
      </c>
      <c r="AX160" s="22" t="inlineStr">
        <is>
          <t>Checked (ET)</t>
        </is>
      </c>
      <c r="AY160" s="22" t="inlineStr">
        <is>
          <t>BFCM 2025 deal type</t>
        </is>
      </c>
      <c r="AZ160" s="22" t="inlineStr">
        <is>
          <t>BFCM 2025 deal dates</t>
        </is>
      </c>
      <c r="BA160" s="22" t="inlineStr">
        <is>
          <t>Pre-event price ($)</t>
        </is>
      </c>
      <c r="BB160" s="22" t="inlineStr">
        <is>
          <t>BFCM 2025 low ($)</t>
        </is>
      </c>
      <c r="BC160" s="22" t="inlineStr">
        <is>
          <t>BFCM 2025 discount</t>
        </is>
      </c>
      <c r="BD160" s="22" t="inlineStr">
        <is>
          <t>BSR pre-event</t>
        </is>
      </c>
      <c r="BE160" s="22" t="inlineStr">
        <is>
          <t>BSR BFCM wk</t>
        </is>
      </c>
      <c r="BF160" s="22" t="inlineStr">
        <is>
          <t>BSR lift (x)</t>
        </is>
      </c>
      <c r="BG160" s="22" t="inlineStr">
        <is>
          <t>OOS in BFCM? (Y/N)</t>
        </is>
      </c>
      <c r="BH160" s="22" t="inlineStr">
        <is>
          <t>Notes</t>
        </is>
      </c>
    </row>
    <row r="161" ht="62" customHeight="1">
      <c r="A161" s="10">
        <f>_xlfn.IMAGE("https://images-na.ssl-images-amazon.com/images/I/71ujt2CgaQL.jpg")</f>
        <v/>
      </c>
      <c r="B161" s="86" t="inlineStr">
        <is>
          <t>BEDELITE</t>
        </is>
      </c>
      <c r="C161" s="32" t="inlineStr">
        <is>
          <t>BEDELITE Satin Sheets Queen Size Bed Set, Black, 4 Pieces</t>
        </is>
      </c>
      <c r="D161" s="86" t="inlineStr">
        <is>
          <t>Aspirational</t>
        </is>
      </c>
      <c r="E161" s="87" t="inlineStr">
        <is>
          <t>B0FNMNMZ9T</t>
        </is>
      </c>
      <c r="F161" s="87" t="inlineStr">
        <is>
          <t>B0CSFTRP2X</t>
        </is>
      </c>
      <c r="G161" s="86" t="inlineStr">
        <is>
          <t>Queen</t>
        </is>
      </c>
      <c r="H161" s="86" t="inlineStr">
        <is>
          <t>Black</t>
        </is>
      </c>
      <c r="I161" s="88" t="n">
        <v>141</v>
      </c>
      <c r="J161" s="32" t="inlineStr">
        <is>
          <t>B0CSFTRP2X (57%), B0CSFW9QKP (14%), B0CSFTZ5B9 (14%)</t>
        </is>
      </c>
      <c r="K161" s="89" t="n">
        <v>17.99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23 children</t>
        </is>
      </c>
      <c r="R161" s="88" t="n">
        <v>497</v>
      </c>
      <c r="S161" s="88" t="n">
        <v>1963</v>
      </c>
      <c r="T161" s="93">
        <f>IF(AND(ISNUMBER(K161),ISNUMBER(S161)),K161*S161*52/12,"")</f>
        <v/>
      </c>
      <c r="U161" s="94" t="n">
        <v>4.3</v>
      </c>
      <c r="V161" s="88" t="n">
        <v>6297</v>
      </c>
      <c r="W161" s="95" t="n">
        <v>46307</v>
      </c>
      <c r="X161" s="95" t="n">
        <v>45307</v>
      </c>
      <c r="Y161" s="86" t="inlineStr">
        <is>
          <t>FBA</t>
        </is>
      </c>
      <c r="Z161" s="86" t="inlineStr">
        <is>
          <t>CN</t>
        </is>
      </c>
      <c r="AA161" s="88" t="n">
        <v>997443</v>
      </c>
      <c r="AB161" s="88" t="n">
        <v>3432</v>
      </c>
      <c r="AC161" s="96" t="n">
        <v>0.8161266415223724</v>
      </c>
      <c r="AD161" s="96" t="n">
        <v>0.1838733681022371</v>
      </c>
      <c r="AE161" s="32" t="inlineStr">
        <is>
          <t>silk sheets</t>
        </is>
      </c>
      <c r="AF161" s="96" t="n">
        <v>0.7623814092634867</v>
      </c>
      <c r="AG161" s="96" t="n">
        <v>0.2406603685624141</v>
      </c>
      <c r="AH161" s="96" t="n">
        <v>0.1818179083917577</v>
      </c>
      <c r="AI161" s="96" t="n">
        <v>0.3718648584430388</v>
      </c>
      <c r="AJ161" s="88" t="n">
        <v>871</v>
      </c>
      <c r="AK161" s="88" t="n">
        <v>92</v>
      </c>
      <c r="AL161" s="88" t="n">
        <v>714</v>
      </c>
      <c r="AM161" s="88" t="n">
        <v>2561</v>
      </c>
      <c r="AN161" s="88" t="n">
        <v>340</v>
      </c>
      <c r="AO161" s="88" t="n">
        <v>36</v>
      </c>
      <c r="AP161" s="97" t="n">
        <v>1.114785561378903</v>
      </c>
      <c r="AQ161" s="92" t="n">
        <v>0.3117365084274004</v>
      </c>
      <c r="AR161" s="98" t="inlineStr">
        <is>
          <t>Y</t>
        </is>
      </c>
      <c r="AS161" s="98" t="inlineStr">
        <is>
          <t>List Price</t>
        </is>
      </c>
      <c r="AT161" s="99" t="n">
        <v>19.99</v>
      </c>
      <c r="AU161" s="99" t="n">
        <v>17.99</v>
      </c>
      <c r="AV161" s="98" t="inlineStr">
        <is>
          <t>none</t>
        </is>
      </c>
      <c r="AW161" s="98" t="inlineStr">
        <is>
          <t>Y</t>
        </is>
      </c>
      <c r="AX161" s="98" t="inlineStr">
        <is>
          <t>2026-10-13 12:12:27</t>
        </is>
      </c>
      <c r="AY161" s="100" t="inlineStr">
        <is>
          <t>Price cut only</t>
        </is>
      </c>
      <c r="AZ161" s="100" t="inlineStr">
        <is>
          <t>11-20 to 12-01</t>
        </is>
      </c>
      <c r="BA161" s="101" t="n">
        <v>17.99</v>
      </c>
      <c r="BB161" s="101" t="n">
        <v>17.09</v>
      </c>
      <c r="BC161" s="90">
        <f>IF(AND(ISNUMBER(BA161),ISNUMBER(BB161),N(BA161)&gt;0),1-BB161/BA161,"")</f>
        <v/>
      </c>
      <c r="BD161" s="102" t="n">
        <v>714</v>
      </c>
      <c r="BE161" s="102" t="n">
        <v>473</v>
      </c>
      <c r="BF161" s="103">
        <f>IF(AND(ISNUMBER(BD161),ISNUMBER(BE161),N(BE161)&gt;0),BD161/BE161,"")</f>
        <v/>
      </c>
      <c r="BG161" s="100" t="inlineStr">
        <is>
          <t>N</t>
        </is>
      </c>
      <c r="BH161" s="100" t="inlineStr">
        <is>
          <t>Prime Exclusive 11-01 to 12-05; Prime Exclusive already running before BFCM week; List Price $23.99</t>
        </is>
      </c>
    </row>
    <row r="162" ht="62" customHeight="1">
      <c r="A162" s="10">
        <f>_xlfn.IMAGE("https://images-na.ssl-images-amazon.com/images/I/81C-fXI71XL.jpg")</f>
        <v/>
      </c>
      <c r="B162" s="86" t="inlineStr">
        <is>
          <t>Love's cabin</t>
        </is>
      </c>
      <c r="C162" s="32" t="inlineStr">
        <is>
          <t>Love's cabin Satin Queen Sheets Set, 4 Pieces, Pink, 15" Deep Pocket</t>
        </is>
      </c>
      <c r="D162" s="86" t="inlineStr">
        <is>
          <t>Aspirational</t>
        </is>
      </c>
      <c r="E162" s="87" t="inlineStr">
        <is>
          <t>B08DHTB63X</t>
        </is>
      </c>
      <c r="F162" s="87" t="inlineStr">
        <is>
          <t>B0BNMC5G8R</t>
        </is>
      </c>
      <c r="G162" s="86" t="inlineStr">
        <is>
          <t>Queen</t>
        </is>
      </c>
      <c r="H162" s="86" t="inlineStr">
        <is>
          <t>Pink</t>
        </is>
      </c>
      <c r="I162" s="88" t="n">
        <v>128</v>
      </c>
      <c r="J162" s="32" t="inlineStr">
        <is>
          <t>B0BNMC5G8R (45%), B0BNMCRSC6 (13%), B0CM5NFXX1 (9%), B0BNMVM5VM (5%), B0BNMD8S97 (4%)</t>
        </is>
      </c>
      <c r="K162" s="89" t="n">
        <v>16.13</v>
      </c>
      <c r="L162" s="89" t="n">
        <v>19.99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23 children</t>
        </is>
      </c>
      <c r="R162" s="88" t="n">
        <v>949</v>
      </c>
      <c r="S162" s="88" t="n">
        <v>809</v>
      </c>
      <c r="T162" s="93">
        <f>IF(AND(ISNUMBER(K162),ISNUMBER(S162)),K162*S162*52/12,"")</f>
        <v/>
      </c>
      <c r="U162" s="94" t="n">
        <v>4.5</v>
      </c>
      <c r="V162" s="88" t="n">
        <v>5747</v>
      </c>
      <c r="W162" s="95" t="n">
        <v>46307</v>
      </c>
      <c r="X162" s="95" t="n">
        <v>44895</v>
      </c>
      <c r="Y162" s="86" t="inlineStr">
        <is>
          <t>FBA</t>
        </is>
      </c>
      <c r="Z162" s="86" t="inlineStr">
        <is>
          <t>CN</t>
        </is>
      </c>
      <c r="AA162" s="88" t="n">
        <v>385363</v>
      </c>
      <c r="AB162" s="88" t="n">
        <v>3599</v>
      </c>
      <c r="AC162" s="96" t="n">
        <v>0.8181775938530695</v>
      </c>
      <c r="AD162" s="96" t="n">
        <v>0.1818224144507905</v>
      </c>
      <c r="AE162" s="32" t="inlineStr">
        <is>
          <t>silk sheets</t>
        </is>
      </c>
      <c r="AF162" s="96" t="n">
        <v>0.8853963665427143</v>
      </c>
      <c r="AG162" s="96" t="n">
        <v>0.6095447668821345</v>
      </c>
      <c r="AH162" s="96" t="n">
        <v>0.07642664189348744</v>
      </c>
      <c r="AI162" s="96" t="n">
        <v>0.06371395281851137</v>
      </c>
      <c r="AJ162" s="88" t="n">
        <v>848</v>
      </c>
      <c r="AK162" s="88" t="n">
        <v>185</v>
      </c>
      <c r="AL162" s="88" t="n">
        <v>585</v>
      </c>
      <c r="AM162" s="88" t="n">
        <v>2751</v>
      </c>
      <c r="AN162" s="88" t="n">
        <v>425</v>
      </c>
      <c r="AO162" s="88" t="n">
        <v>42</v>
      </c>
      <c r="AP162" s="97" t="n">
        <v>1.036399938565504</v>
      </c>
      <c r="AQ162" s="92" t="n">
        <v>-0.1336111472848027</v>
      </c>
      <c r="AR162" s="98" t="inlineStr">
        <is>
          <t>Y</t>
        </is>
      </c>
      <c r="AS162" s="98" t="inlineStr">
        <is>
          <t>List Price</t>
        </is>
      </c>
      <c r="AT162" s="99" t="n">
        <v>19.99</v>
      </c>
      <c r="AU162" s="99" t="n">
        <v>16.13</v>
      </c>
      <c r="AV162" s="98" t="inlineStr">
        <is>
          <t>Limited time deal</t>
        </is>
      </c>
      <c r="AW162" s="98" t="inlineStr">
        <is>
          <t>Y</t>
        </is>
      </c>
      <c r="AX162" s="98" t="inlineStr">
        <is>
          <t>2026-10-13 12:13:15</t>
        </is>
      </c>
      <c r="AY162" s="100" t="inlineStr">
        <is>
          <t>Prime Exclusive Discount</t>
        </is>
      </c>
      <c r="AZ162" s="100" t="inlineStr">
        <is>
          <t>11-10 to 12-05</t>
        </is>
      </c>
      <c r="BA162" s="101" t="n">
        <v>17.99</v>
      </c>
      <c r="BB162" s="101" t="n">
        <v>17.99</v>
      </c>
      <c r="BC162" s="90">
        <f>IF(AND(ISNUMBER(BA162),ISNUMBER(BB162),N(BA162)&gt;0),1-BB162/BA162,"")</f>
        <v/>
      </c>
      <c r="BD162" s="102" t="n">
        <v>1276</v>
      </c>
      <c r="BE162" s="102" t="n">
        <v>1515</v>
      </c>
      <c r="BF162" s="103">
        <f>IF(AND(ISNUMBER(BD162),ISNUMBER(BE162),N(BE162)&gt;0),BD162/BE162,"")</f>
        <v/>
      </c>
      <c r="BG162" s="100" t="inlineStr">
        <is>
          <t>N</t>
        </is>
      </c>
      <c r="BH162" s="100" t="inlineStr">
        <is>
          <t>Prime Exclusive already running before BFCM week; List Price $25.99</t>
        </is>
      </c>
    </row>
    <row r="163" ht="62" customHeight="1">
      <c r="A163" s="10">
        <f>_xlfn.IMAGE("https://images-na.ssl-images-amazon.com/images/I/71zGuoeuSrL.jpg")</f>
        <v/>
      </c>
      <c r="B163" s="86" t="inlineStr">
        <is>
          <t>MR&amp;HM</t>
        </is>
      </c>
      <c r="C163" s="32" t="inlineStr">
        <is>
          <t>MR&amp;HM Satin Sheets Queen Size with Elastic Corner Straps, Black</t>
        </is>
      </c>
      <c r="D163" s="86" t="inlineStr">
        <is>
          <t>Aspirational</t>
        </is>
      </c>
      <c r="E163" s="87" t="inlineStr">
        <is>
          <t>B08NQ3W7PG</t>
        </is>
      </c>
      <c r="F163" s="87" t="inlineStr">
        <is>
          <t>B08HM6WT6X</t>
        </is>
      </c>
      <c r="G163" s="86" t="inlineStr">
        <is>
          <t>Queen</t>
        </is>
      </c>
      <c r="H163" s="86" t="inlineStr">
        <is>
          <t>Black</t>
        </is>
      </c>
      <c r="I163" s="88" t="n">
        <v>183</v>
      </c>
      <c r="J163" s="32" t="inlineStr">
        <is>
          <t>B08HM6WT6X (40%), B0D2CQ6VNT (13%), B08PS3HDFL (10%), B08HM65Z68 (8%), B08HLT8R9M (6%)</t>
        </is>
      </c>
      <c r="K163" s="89" t="n">
        <v>19.99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23 children</t>
        </is>
      </c>
      <c r="R163" s="88" t="n">
        <v>2025</v>
      </c>
      <c r="S163" s="88" t="n">
        <v>809</v>
      </c>
      <c r="T163" s="93">
        <f>IF(AND(ISNUMBER(K163),ISNUMBER(S163)),K163*S163*52/12,"")</f>
        <v/>
      </c>
      <c r="U163" s="94" t="n">
        <v>4.4</v>
      </c>
      <c r="V163" s="88" t="n">
        <v>17886</v>
      </c>
      <c r="W163" s="95" t="n">
        <v>46307</v>
      </c>
      <c r="X163" s="95" t="n">
        <v>44081</v>
      </c>
      <c r="Y163" s="86" t="inlineStr">
        <is>
          <t>FBA</t>
        </is>
      </c>
      <c r="Z163" s="86" t="inlineStr">
        <is>
          <t>HK</t>
        </is>
      </c>
      <c r="AA163" s="88" t="n">
        <v>356457</v>
      </c>
      <c r="AB163" s="88" t="n">
        <v>3352</v>
      </c>
      <c r="AC163" s="96" t="n">
        <v>0.7964633734223203</v>
      </c>
      <c r="AD163" s="96" t="n">
        <v>0.2035367432817982</v>
      </c>
      <c r="AE163" s="32" t="inlineStr">
        <is>
          <t>silk sheets</t>
        </is>
      </c>
      <c r="AF163" s="96" t="n">
        <v>0.839254103580516</v>
      </c>
      <c r="AG163" s="96" t="n"/>
      <c r="AH163" s="96" t="n"/>
      <c r="AI163" s="96" t="n">
        <v>0.1362268099658584</v>
      </c>
      <c r="AJ163" s="88" t="n">
        <v>867</v>
      </c>
      <c r="AK163" s="88" t="n">
        <v>179</v>
      </c>
      <c r="AL163" s="88" t="n">
        <v>608</v>
      </c>
      <c r="AM163" s="88" t="n">
        <v>2485</v>
      </c>
      <c r="AN163" s="88" t="n">
        <v>383</v>
      </c>
      <c r="AO163" s="88" t="n">
        <v>49</v>
      </c>
      <c r="AP163" s="97" t="n">
        <v>0.9844138242602214</v>
      </c>
      <c r="AQ163" s="92" t="n">
        <v>0.1594370096908169</v>
      </c>
      <c r="AR163" s="98" t="inlineStr">
        <is>
          <t>Y</t>
        </is>
      </c>
      <c r="AS163" s="98" t="inlineStr">
        <is>
          <t>List Price</t>
        </is>
      </c>
      <c r="AT163" s="99" t="n">
        <v>28.99</v>
      </c>
      <c r="AU163" s="99" t="n">
        <v>19.99</v>
      </c>
      <c r="AV163" s="98" t="inlineStr">
        <is>
          <t>none</t>
        </is>
      </c>
      <c r="AW163" s="98" t="inlineStr">
        <is>
          <t>Y</t>
        </is>
      </c>
      <c r="AX163" s="98" t="inlineStr">
        <is>
          <t>2026-10-13 12:13:22</t>
        </is>
      </c>
      <c r="AY163" s="100" t="inlineStr">
        <is>
          <t>None</t>
        </is>
      </c>
      <c r="AZ163" s="105" t="n"/>
      <c r="BA163" s="101" t="n">
        <v>17.99</v>
      </c>
      <c r="BB163" s="101" t="n">
        <v>17.99</v>
      </c>
      <c r="BC163" s="90">
        <f>IF(AND(ISNUMBER(BA163),ISNUMBER(BB163),N(BA163)&gt;0),1-BB163/BA163,"")</f>
        <v/>
      </c>
      <c r="BD163" s="102" t="n">
        <v>1500</v>
      </c>
      <c r="BE163" s="102" t="n">
        <v>1119</v>
      </c>
      <c r="BF163" s="103">
        <f>IF(AND(ISNUMBER(BD163),ISNUMBER(BE163),N(BE163)&gt;0),BD163/BE163,"")</f>
        <v/>
      </c>
      <c r="BG163" s="100" t="inlineStr">
        <is>
          <t>N</t>
        </is>
      </c>
      <c r="BH163" s="100" t="inlineStr">
        <is>
          <t>Prime Exclusive 11-01 to 12-05; Lightning Deal 11-08 to 11-14; Prime Exclusive already running before BFCM week; List Price $28.99</t>
        </is>
      </c>
    </row>
    <row r="164" ht="62" customHeight="1">
      <c r="A164" s="10">
        <f>_xlfn.IMAGE("https://images-na.ssl-images-amazon.com/images/I/71QlFwpmpcL.jpg")</f>
        <v/>
      </c>
      <c r="B164" s="86" t="inlineStr">
        <is>
          <t>CozyLux</t>
        </is>
      </c>
      <c r="C164" s="32" t="inlineStr">
        <is>
          <t>CozyLux Satin Sheets Queen, 4-Piece 14-Inch Deep Pocket Sheet Set</t>
        </is>
      </c>
      <c r="D164" s="86" t="inlineStr">
        <is>
          <t>Beatable</t>
        </is>
      </c>
      <c r="E164" s="87" t="inlineStr">
        <is>
          <t>B08CQKS3KP</t>
        </is>
      </c>
      <c r="F164" s="87" t="inlineStr">
        <is>
          <t>B08P16XLP2</t>
        </is>
      </c>
      <c r="G164" s="86" t="inlineStr">
        <is>
          <t>Queen</t>
        </is>
      </c>
      <c r="H164" s="86" t="inlineStr">
        <is>
          <t>Black</t>
        </is>
      </c>
      <c r="I164" s="88" t="n">
        <v>115</v>
      </c>
      <c r="J164" s="32" t="inlineStr">
        <is>
          <t>B08P16XLP2 (43%), B08P164867 (8%), B08P17PQ8J (6%), B0CQ8CN4PK (5%), B0BYDSWCJY (4%)</t>
        </is>
      </c>
      <c r="K164" s="89" t="n">
        <v>13.99</v>
      </c>
      <c r="L164" s="89" t="n">
        <v>18.99</v>
      </c>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23 children</t>
        </is>
      </c>
      <c r="R164" s="88" t="n">
        <v>3102</v>
      </c>
      <c r="S164" s="88" t="n">
        <v>347</v>
      </c>
      <c r="T164" s="93">
        <f>IF(AND(ISNUMBER(K164),ISNUMBER(S164)),K164*S164*52/12,"")</f>
        <v/>
      </c>
      <c r="U164" s="94" t="n">
        <v>4.3</v>
      </c>
      <c r="V164" s="88" t="n">
        <v>7075</v>
      </c>
      <c r="W164" s="95" t="n">
        <v>46307</v>
      </c>
      <c r="X164" s="95" t="n">
        <v>44158</v>
      </c>
      <c r="Y164" s="86" t="inlineStr">
        <is>
          <t>FBA</t>
        </is>
      </c>
      <c r="Z164" s="86" t="inlineStr">
        <is>
          <t>CN</t>
        </is>
      </c>
      <c r="AA164" s="88" t="n">
        <v>164434</v>
      </c>
      <c r="AB164" s="88" t="n">
        <v>2031</v>
      </c>
      <c r="AC164" s="96" t="n">
        <v>0.724298132381382</v>
      </c>
      <c r="AD164" s="96" t="n">
        <v>0.2757019065400104</v>
      </c>
      <c r="AE164" s="32" t="inlineStr">
        <is>
          <t>silk sheets</t>
        </is>
      </c>
      <c r="AF164" s="96" t="n">
        <v>0.601335490227082</v>
      </c>
      <c r="AG164" s="96" t="n">
        <v>0.5155016602405829</v>
      </c>
      <c r="AH164" s="96" t="n"/>
      <c r="AI164" s="96" t="n">
        <v>0.04596981159614192</v>
      </c>
      <c r="AJ164" s="88" t="n">
        <v>768</v>
      </c>
      <c r="AK164" s="88" t="n">
        <v>242</v>
      </c>
      <c r="AL164" s="88" t="n">
        <v>438</v>
      </c>
      <c r="AM164" s="88" t="n">
        <v>1263</v>
      </c>
      <c r="AN164" s="88" t="n">
        <v>332</v>
      </c>
      <c r="AO164" s="88" t="n">
        <v>36</v>
      </c>
      <c r="AP164" s="97" t="n">
        <v>0.8168981481481481</v>
      </c>
      <c r="AQ164" s="92" t="n">
        <v>-0.1447276536312849</v>
      </c>
      <c r="AR164" s="98" t="inlineStr">
        <is>
          <t>Y</t>
        </is>
      </c>
      <c r="AS164" s="98" t="inlineStr">
        <is>
          <t>List Price</t>
        </is>
      </c>
      <c r="AT164" s="99" t="n">
        <v>18.99</v>
      </c>
      <c r="AU164" s="99" t="n">
        <v>13.99</v>
      </c>
      <c r="AV164" s="98" t="inlineStr">
        <is>
          <t>Limited time deal</t>
        </is>
      </c>
      <c r="AW164" s="98" t="inlineStr">
        <is>
          <t>Y</t>
        </is>
      </c>
      <c r="AX164" s="98" t="inlineStr">
        <is>
          <t>2026-10-13 12:12:43</t>
        </is>
      </c>
      <c r="AY164" s="100" t="inlineStr">
        <is>
          <t>Prime Exclusive Discount</t>
        </is>
      </c>
      <c r="AZ164" s="100" t="inlineStr">
        <is>
          <t>11-01 to 12-05</t>
        </is>
      </c>
      <c r="BA164" s="101" t="n">
        <v>17.99</v>
      </c>
      <c r="BB164" s="101" t="n">
        <v>16.99</v>
      </c>
      <c r="BC164" s="90">
        <f>IF(AND(ISNUMBER(BA164),ISNUMBER(BB164),N(BA164)&gt;0),1-BB164/BA164,"")</f>
        <v/>
      </c>
      <c r="BD164" s="102" t="n">
        <v>1165</v>
      </c>
      <c r="BE164" s="102" t="n">
        <v>1226</v>
      </c>
      <c r="BF164" s="103">
        <f>IF(AND(ISNUMBER(BD164),ISNUMBER(BE164),N(BE164)&gt;0),BD164/BE164,"")</f>
        <v/>
      </c>
      <c r="BG164" s="100" t="inlineStr">
        <is>
          <t>N</t>
        </is>
      </c>
      <c r="BH164" s="100" t="inlineStr">
        <is>
          <t>Lightning Deal 11-09 to 11-16; Prime Exclusive already running before BFCM week; List Price $22.99</t>
        </is>
      </c>
    </row>
    <row r="165" ht="62" customHeight="1">
      <c r="A165" s="10">
        <f>_xlfn.IMAGE("https://images-na.ssl-images-amazon.com/images/I/71PMIXXTc0L.jpg")</f>
        <v/>
      </c>
      <c r="B165" s="86" t="inlineStr">
        <is>
          <t>Lanest Housing</t>
        </is>
      </c>
      <c r="C165" s="32" t="inlineStr">
        <is>
          <t>Lanest Housing Silk Satin Sheets, Queen Size Satin Bed Sheet Set with Deep Pockets, Cooling Soft and Hypoallergenic Satin Sheets Queen - Light Gray</t>
        </is>
      </c>
      <c r="D165" s="86" t="inlineStr">
        <is>
          <t>Beatable</t>
        </is>
      </c>
      <c r="E165" s="87" t="inlineStr">
        <is>
          <t>B0DC3MX1DP</t>
        </is>
      </c>
      <c r="F165" s="87" t="inlineStr">
        <is>
          <t>B082B5CY3D</t>
        </is>
      </c>
      <c r="G165" s="86" t="inlineStr">
        <is>
          <t>Queen</t>
        </is>
      </c>
      <c r="H165" s="86" t="inlineStr">
        <is>
          <t>Gray</t>
        </is>
      </c>
      <c r="I165" s="88" t="n">
        <v>154</v>
      </c>
      <c r="J165" s="32" t="inlineStr">
        <is>
          <t>B082B5CY3D (41%), B07VWFV7MB (21%), B07VTSWJPH (21%)</t>
        </is>
      </c>
      <c r="K165" s="89" t="n">
        <v>22.99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23 children</t>
        </is>
      </c>
      <c r="R165" s="88" t="n">
        <v>4671</v>
      </c>
      <c r="S165" s="88" t="n">
        <v>208</v>
      </c>
      <c r="T165" s="93">
        <f>IF(AND(ISNUMBER(K165),ISNUMBER(S165)),K165*S165*52/12,"")</f>
        <v/>
      </c>
      <c r="U165" s="94" t="n">
        <v>4.3</v>
      </c>
      <c r="V165" s="88" t="n">
        <v>5837</v>
      </c>
      <c r="W165" s="95" t="n">
        <v>46307</v>
      </c>
      <c r="X165" s="95" t="n">
        <v>43803</v>
      </c>
      <c r="Y165" s="86" t="inlineStr">
        <is>
          <t>FBA</t>
        </is>
      </c>
      <c r="Z165" s="86" t="inlineStr">
        <is>
          <t>CN</t>
        </is>
      </c>
      <c r="AA165" s="88" t="n">
        <v>163454</v>
      </c>
      <c r="AB165" s="88" t="n">
        <v>1240</v>
      </c>
      <c r="AC165" s="96" t="n">
        <v>0.511816095659941</v>
      </c>
      <c r="AD165" s="96" t="n">
        <v>0.488184002226926</v>
      </c>
      <c r="AE165" s="32" t="inlineStr">
        <is>
          <t>silk sheets</t>
        </is>
      </c>
      <c r="AF165" s="96" t="n">
        <v>0.9357923330111224</v>
      </c>
      <c r="AG165" s="96" t="n">
        <v>0.9225470162859275</v>
      </c>
      <c r="AH165" s="96" t="n"/>
      <c r="AI165" s="96" t="n">
        <v>0.002850955008748639</v>
      </c>
      <c r="AJ165" s="88" t="n">
        <v>628</v>
      </c>
      <c r="AK165" s="88" t="n">
        <v>234</v>
      </c>
      <c r="AL165" s="88" t="n">
        <v>285</v>
      </c>
      <c r="AM165" s="88" t="n">
        <v>612</v>
      </c>
      <c r="AN165" s="88" t="n">
        <v>50</v>
      </c>
      <c r="AO165" s="88" t="n">
        <v>61</v>
      </c>
      <c r="AP165" s="97" t="n">
        <v>0.4183908045977011</v>
      </c>
      <c r="AQ165" s="92" t="n">
        <v>1.815972222222222</v>
      </c>
      <c r="AR165" s="98" t="inlineStr">
        <is>
          <t>N</t>
        </is>
      </c>
      <c r="AS165" s="98" t="inlineStr">
        <is>
          <t>none</t>
        </is>
      </c>
      <c r="AT165" s="104" t="n"/>
      <c r="AU165" s="99" t="n">
        <v>22.99</v>
      </c>
      <c r="AV165" s="98" t="inlineStr">
        <is>
          <t>none</t>
        </is>
      </c>
      <c r="AW165" s="98" t="inlineStr">
        <is>
          <t>Y</t>
        </is>
      </c>
      <c r="AX165" s="98" t="inlineStr">
        <is>
          <t>2026-10-13 12:13:12</t>
        </is>
      </c>
      <c r="AY165" s="100" t="inlineStr">
        <is>
          <t>Prime Exclusive Discount</t>
        </is>
      </c>
      <c r="AZ165" s="100" t="inlineStr">
        <is>
          <t>11-20 to 11-27</t>
        </is>
      </c>
      <c r="BA165" s="101" t="n">
        <v>19.99</v>
      </c>
      <c r="BB165" s="101" t="n">
        <v>17.99</v>
      </c>
      <c r="BC165" s="90">
        <f>IF(AND(ISNUMBER(BA165),ISNUMBER(BB165),N(BA165)&gt;0),1-BB165/BA165,"")</f>
        <v/>
      </c>
      <c r="BD165" s="102" t="n">
        <v>3675</v>
      </c>
      <c r="BE165" s="102" t="n">
        <v>3550</v>
      </c>
      <c r="BF165" s="103">
        <f>IF(AND(ISNUMBER(BD165),ISNUMBER(BE165),N(BE165)&gt;0),BD165/BE165,"")</f>
        <v/>
      </c>
      <c r="BG165" s="100" t="inlineStr">
        <is>
          <t>Y</t>
        </is>
      </c>
      <c r="BH165" s="100" t="inlineStr">
        <is>
          <t>Buy Box RAISED in BFCM week (median $27.79 vs $19.99 before); List Price $37.99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27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504</v>
      </c>
      <c r="AK166" s="88" t="n">
        <v>191</v>
      </c>
      <c r="AL166" s="88" t="n">
        <v>257</v>
      </c>
      <c r="AM166" s="88" t="n">
        <v>613</v>
      </c>
      <c r="AN166" s="88" t="n">
        <v>19</v>
      </c>
      <c r="AO166" s="88" t="n">
        <v>8</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_xlfn.IMAGE("https://images-na.ssl-images-amazon.com/images/I/81zLU1W0e8L.jpg")</f>
        <v/>
      </c>
      <c r="B167" s="86" t="inlineStr">
        <is>
          <t>Pure Bedding</t>
        </is>
      </c>
      <c r="C167" s="32" t="inlineStr">
        <is>
          <t>Pure Bedding Satin Sheets Queen [4-Piece, Black] Hotel Luxury Silky Bed Sheets - Extra Soft 1800 Microfiber Sheet Set, Wrinkle, Fade, Deep Pocket Fitted Sheet, Flat Sheet, Pillow Cases</t>
        </is>
      </c>
      <c r="D167" s="86" t="inlineStr">
        <is>
          <t>Beatable</t>
        </is>
      </c>
      <c r="E167" s="87" t="inlineStr">
        <is>
          <t>B0FMPQYB2J</t>
        </is>
      </c>
      <c r="F167" s="87" t="inlineStr">
        <is>
          <t>B083G81VSH</t>
        </is>
      </c>
      <c r="G167" s="86" t="inlineStr">
        <is>
          <t>Queen</t>
        </is>
      </c>
      <c r="H167" s="86" t="inlineStr">
        <is>
          <t>Black</t>
        </is>
      </c>
      <c r="I167" s="88" t="n">
        <v>146</v>
      </c>
      <c r="J167" s="32" t="inlineStr">
        <is>
          <t>B083G81VSH (53%), B07QVMQHD8 (25%), B0FMZWLSSM (4%)</t>
        </is>
      </c>
      <c r="K167" s="89" t="n">
        <v>20.99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23 children</t>
        </is>
      </c>
      <c r="R167" s="88" t="n">
        <v>30991</v>
      </c>
      <c r="S167" s="88" t="n">
        <v>92</v>
      </c>
      <c r="T167" s="93">
        <f>IF(AND(ISNUMBER(K167),ISNUMBER(S167)),K167*S167*52/12,"")</f>
        <v/>
      </c>
      <c r="U167" s="94" t="n">
        <v>4.4</v>
      </c>
      <c r="V167" s="88" t="n">
        <v>9828</v>
      </c>
      <c r="W167" s="95" t="n">
        <v>46307</v>
      </c>
      <c r="X167" s="95" t="n">
        <v>43833</v>
      </c>
      <c r="Y167" s="86" t="inlineStr">
        <is>
          <t>AMZ</t>
        </is>
      </c>
      <c r="Z167" s="86" t="inlineStr">
        <is>
          <t>(Amazon)</t>
        </is>
      </c>
      <c r="AA167" s="88" t="n">
        <v>119531</v>
      </c>
      <c r="AB167" s="88" t="n">
        <v>1524</v>
      </c>
      <c r="AC167" s="96" t="n">
        <v>0.6204180681162206</v>
      </c>
      <c r="AD167" s="96" t="n">
        <v>0.3795819318837791</v>
      </c>
      <c r="AE167" s="32" t="inlineStr">
        <is>
          <t>satin sheets</t>
        </is>
      </c>
      <c r="AF167" s="96" t="n">
        <v>0.7968142155591437</v>
      </c>
      <c r="AG167" s="96" t="n"/>
      <c r="AH167" s="96" t="n"/>
      <c r="AI167" s="96" t="n">
        <v>0.001480787410797199</v>
      </c>
      <c r="AJ167" s="88" t="n">
        <v>615</v>
      </c>
      <c r="AK167" s="88" t="n">
        <v>291</v>
      </c>
      <c r="AL167" s="88" t="n">
        <v>239</v>
      </c>
      <c r="AM167" s="88" t="n">
        <v>909</v>
      </c>
      <c r="AN167" s="88" t="n">
        <v>213</v>
      </c>
      <c r="AO167" s="88" t="n">
        <v>41</v>
      </c>
      <c r="AP167" s="97" t="n">
        <v>0.7574960547080484</v>
      </c>
      <c r="AQ167" s="92" t="n">
        <v>-0.08414376321353068</v>
      </c>
      <c r="AR167" s="98" t="inlineStr">
        <is>
          <t>N</t>
        </is>
      </c>
      <c r="AS167" s="98" t="inlineStr">
        <is>
          <t>none</t>
        </is>
      </c>
      <c r="AT167" s="104" t="n"/>
      <c r="AU167" s="99" t="n">
        <v>20.99</v>
      </c>
      <c r="AV167" s="98" t="inlineStr">
        <is>
          <t>none</t>
        </is>
      </c>
      <c r="AW167" s="98" t="inlineStr">
        <is>
          <t>Y</t>
        </is>
      </c>
      <c r="AX167" s="98" t="inlineStr">
        <is>
          <t>2026-10-13 12:13:39</t>
        </is>
      </c>
      <c r="AY167" s="100" t="inlineStr">
        <is>
          <t>Price cut only</t>
        </is>
      </c>
      <c r="AZ167" s="100" t="inlineStr">
        <is>
          <t>11-26 to 12-01</t>
        </is>
      </c>
      <c r="BA167" s="101" t="n">
        <v>18.99</v>
      </c>
      <c r="BB167" s="101" t="n">
        <v>17.54</v>
      </c>
      <c r="BC167" s="90">
        <f>IF(AND(ISNUMBER(BA167),ISNUMBER(BB167),N(BA167)&gt;0),1-BB167/BA167,"")</f>
        <v/>
      </c>
      <c r="BD167" s="102" t="n">
        <v>18619</v>
      </c>
      <c r="BE167" s="102" t="n">
        <v>22404</v>
      </c>
      <c r="BF167" s="103">
        <f>IF(AND(ISNUMBER(BD167),ISNUMBER(BE167),N(BE167)&gt;0),BD167/BE167,"")</f>
        <v/>
      </c>
      <c r="BG167" s="100" t="inlineStr">
        <is>
          <t>N</t>
        </is>
      </c>
      <c r="BH167" s="100" t="inlineStr">
        <is>
          <t>Buy Box RAISED in BFCM week (median $20.02 vs $18.99 before); List Price $32.99</t>
        </is>
      </c>
    </row>
    <row r="168" ht="62" customHeight="1">
      <c r="A168" s="10">
        <f>_xlfn.IMAGE("https://images-na.ssl-images-amazon.com/images/I/71ZrkfMtWLL.jpg")</f>
        <v/>
      </c>
      <c r="B168" s="86" t="inlineStr">
        <is>
          <t>SiinvdaBZX</t>
        </is>
      </c>
      <c r="C168" s="32" t="inlineStr">
        <is>
          <t>SiinvdaBZX 4Pcs Satin Sheet Set Queen Size 15-Inch Deep Pocket, Beige</t>
        </is>
      </c>
      <c r="D168" s="86" t="inlineStr">
        <is>
          <t>Beatable</t>
        </is>
      </c>
      <c r="E168" s="87" t="inlineStr">
        <is>
          <t>B0DD37S32L</t>
        </is>
      </c>
      <c r="F168" s="87" t="inlineStr">
        <is>
          <t>B08JP9DG5Z</t>
        </is>
      </c>
      <c r="G168" s="86" t="inlineStr">
        <is>
          <t>Queen</t>
        </is>
      </c>
      <c r="H168" s="86" t="inlineStr">
        <is>
          <t>Beige</t>
        </is>
      </c>
      <c r="I168" s="88" t="n">
        <v>96</v>
      </c>
      <c r="J168" s="32" t="inlineStr">
        <is>
          <t>B08JP9DG5Z (57%), B09QPFBSD4 (12%), B09QP9LCFM (7%), B08JPQ3JJK (4%)</t>
        </is>
      </c>
      <c r="K168" s="89" t="n">
        <v>22.99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23 children</t>
        </is>
      </c>
      <c r="R168" s="88" t="n">
        <v>23154</v>
      </c>
      <c r="S168" s="88" t="n">
        <v>92</v>
      </c>
      <c r="T168" s="93">
        <f>IF(AND(ISNUMBER(K168),ISNUMBER(S168)),K168*S168*52/12,"")</f>
        <v/>
      </c>
      <c r="U168" s="94" t="n">
        <v>4.4</v>
      </c>
      <c r="V168" s="88" t="n">
        <v>6981</v>
      </c>
      <c r="W168" s="95" t="n">
        <v>46307</v>
      </c>
      <c r="X168" s="95" t="n">
        <v>44096</v>
      </c>
      <c r="Y168" s="86" t="inlineStr">
        <is>
          <t>FBA</t>
        </is>
      </c>
      <c r="Z168" s="86" t="inlineStr">
        <is>
          <t>CN</t>
        </is>
      </c>
      <c r="AA168" s="88" t="n">
        <v>47722</v>
      </c>
      <c r="AB168" s="88" t="n">
        <v>1085</v>
      </c>
      <c r="AC168" s="96" t="n">
        <v>0.8752176061355349</v>
      </c>
      <c r="AD168" s="96" t="n">
        <v>0.1247823938644651</v>
      </c>
      <c r="AE168" s="32" t="inlineStr">
        <is>
          <t>silk sheets</t>
        </is>
      </c>
      <c r="AF168" s="96" t="n">
        <v>0.6122543061900172</v>
      </c>
      <c r="AG168" s="96" t="n">
        <v>0.0001885922635262562</v>
      </c>
      <c r="AH168" s="96" t="n">
        <v>0.01083357780478605</v>
      </c>
      <c r="AI168" s="96" t="n">
        <v>0.004777670675998491</v>
      </c>
      <c r="AJ168" s="88" t="n">
        <v>434</v>
      </c>
      <c r="AK168" s="88" t="n">
        <v>234</v>
      </c>
      <c r="AL168" s="88" t="n">
        <v>139</v>
      </c>
      <c r="AM168" s="88" t="n">
        <v>651</v>
      </c>
      <c r="AN168" s="88" t="n">
        <v>99</v>
      </c>
      <c r="AO168" s="88" t="n">
        <v>16</v>
      </c>
      <c r="AP168" s="97" t="n">
        <v>1.035928143712575</v>
      </c>
      <c r="AQ168" s="92" t="n">
        <v>-0.05882352941176483</v>
      </c>
      <c r="AR168" s="98" t="inlineStr">
        <is>
          <t>N</t>
        </is>
      </c>
      <c r="AS168" s="98" t="inlineStr">
        <is>
          <t>none</t>
        </is>
      </c>
      <c r="AT168" s="104" t="n"/>
      <c r="AU168" s="99" t="n">
        <v>22.99</v>
      </c>
      <c r="AV168" s="98" t="inlineStr">
        <is>
          <t>none</t>
        </is>
      </c>
      <c r="AW168" s="98" t="inlineStr">
        <is>
          <t>Y</t>
        </is>
      </c>
      <c r="AX168" s="98" t="inlineStr">
        <is>
          <t>2026-10-13 12:13:45</t>
        </is>
      </c>
      <c r="AY168" s="100" t="inlineStr">
        <is>
          <t>Prime Exclusive Discount</t>
        </is>
      </c>
      <c r="AZ168" s="100" t="inlineStr">
        <is>
          <t>11-01 to 12-01</t>
        </is>
      </c>
      <c r="BA168" s="101" t="n">
        <v>24.49</v>
      </c>
      <c r="BB168" s="101" t="n">
        <v>21.59</v>
      </c>
      <c r="BC168" s="90">
        <f>IF(AND(ISNUMBER(BA168),ISNUMBER(BB168),N(BA168)&gt;0),1-BB168/BA168,"")</f>
        <v/>
      </c>
      <c r="BD168" s="102" t="n">
        <v>20848</v>
      </c>
      <c r="BE168" s="102" t="n">
        <v>20750</v>
      </c>
      <c r="BF168" s="103">
        <f>IF(AND(ISNUMBER(BD168),ISNUMBER(BE168),N(BE168)&gt;0),BD168/BE168,"")</f>
        <v/>
      </c>
      <c r="BG168" s="100" t="inlineStr">
        <is>
          <t>N</t>
        </is>
      </c>
      <c r="BH168" s="100" t="inlineStr">
        <is>
          <t>Prime Exclusive already running before BFCM week; Buy Box RAISED in BFCM week (median $26.99 vs $24.49 before); List Price $52.59</t>
        </is>
      </c>
    </row>
    <row r="169" ht="62" customHeight="1">
      <c r="A169" s="10">
        <f>_xlfn.IMAGE("https://images-na.ssl-images-amazon.com/images/I/61QL2B3WPsL.jpg")</f>
        <v/>
      </c>
      <c r="B169" s="86" t="inlineStr">
        <is>
          <t>Cobedzy</t>
        </is>
      </c>
      <c r="C169" s="32" t="inlineStr">
        <is>
          <t>Satin Sheets</t>
        </is>
      </c>
      <c r="D169" s="86" t="inlineStr">
        <is>
          <t>Beatable</t>
        </is>
      </c>
      <c r="E169" s="87" t="inlineStr">
        <is>
          <t>B099PPQ7T3</t>
        </is>
      </c>
      <c r="F169" s="87" t="inlineStr">
        <is>
          <t>B087CSRQQ4</t>
        </is>
      </c>
      <c r="G169" s="86" t="inlineStr">
        <is>
          <t>Queen</t>
        </is>
      </c>
      <c r="H169" s="86" t="inlineStr">
        <is>
          <t>Blush Pink</t>
        </is>
      </c>
      <c r="I169" s="88" t="n">
        <v>18</v>
      </c>
      <c r="J169" s="32" t="inlineStr">
        <is>
          <t>B087CSJ1FV (44%), B087CSRQQ4 (26%), B087CSNV9S (8%), B088CX6RW8 (4%)</t>
        </is>
      </c>
      <c r="K169" s="89" t="n">
        <v>24.99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23 children</t>
        </is>
      </c>
      <c r="R169" s="88" t="n">
        <v>68667</v>
      </c>
      <c r="S169" s="88" t="n">
        <v>35</v>
      </c>
      <c r="T169" s="93">
        <f>IF(AND(ISNUMBER(K169),ISNUMBER(S169)),K169*S169*52/12,"")</f>
        <v/>
      </c>
      <c r="U169" s="94" t="n">
        <v>4.4</v>
      </c>
      <c r="V169" s="88" t="n">
        <v>2838</v>
      </c>
      <c r="W169" s="95" t="n">
        <v>46307</v>
      </c>
      <c r="X169" s="95" t="n"/>
      <c r="Y169" s="86" t="n"/>
      <c r="Z169" s="86" t="n"/>
      <c r="AA169" s="88" t="n">
        <v>21925</v>
      </c>
      <c r="AB169" s="88" t="n">
        <v>461</v>
      </c>
      <c r="AC169" s="96" t="n">
        <v>0.9295306681870016</v>
      </c>
      <c r="AD169" s="96" t="n">
        <v>0.07046991562143676</v>
      </c>
      <c r="AE169" s="32" t="inlineStr">
        <is>
          <t>satin sheets</t>
        </is>
      </c>
      <c r="AF169" s="96" t="n">
        <v>0.3978563283922463</v>
      </c>
      <c r="AG169" s="96" t="n"/>
      <c r="AH169" s="96" t="n"/>
      <c r="AI169" s="96" t="n">
        <v>0.01299885974914481</v>
      </c>
      <c r="AJ169" s="88" t="n">
        <v>266</v>
      </c>
      <c r="AK169" s="88" t="n">
        <v>182</v>
      </c>
      <c r="AL169" s="88" t="n">
        <v>65</v>
      </c>
      <c r="AM169" s="88" t="n">
        <v>195</v>
      </c>
      <c r="AN169" s="88" t="n">
        <v>43</v>
      </c>
      <c r="AO169" s="88" t="n">
        <v>20</v>
      </c>
      <c r="AP169" s="97" t="n">
        <v>0.8934169278996865</v>
      </c>
      <c r="AQ169" s="92" t="n">
        <v>-0.4259740259740259</v>
      </c>
      <c r="AR169" s="98" t="inlineStr">
        <is>
          <t>Y</t>
        </is>
      </c>
      <c r="AS169" s="98" t="inlineStr">
        <is>
          <t>Typical price</t>
        </is>
      </c>
      <c r="AT169" s="99" t="n">
        <v>26.99</v>
      </c>
      <c r="AU169" s="99" t="n">
        <v>24.99</v>
      </c>
      <c r="AV169" s="98" t="inlineStr">
        <is>
          <t>none</t>
        </is>
      </c>
      <c r="AW169" s="98" t="inlineStr">
        <is>
          <t>Y</t>
        </is>
      </c>
      <c r="AX169" s="98" t="inlineStr">
        <is>
          <t>2026-10-13 12:12:40</t>
        </is>
      </c>
      <c r="AY169" s="100" t="inlineStr">
        <is>
          <t>Price cut only</t>
        </is>
      </c>
      <c r="AZ169" s="100" t="inlineStr">
        <is>
          <t>11-20 to 12-01</t>
        </is>
      </c>
      <c r="BA169" s="101" t="n">
        <v>27.99</v>
      </c>
      <c r="BB169" s="101" t="n">
        <v>22.39</v>
      </c>
      <c r="BC169" s="90">
        <f>IF(AND(ISNUMBER(BA169),ISNUMBER(BB169),N(BA169)&gt;0),1-BB169/BA169,"")</f>
        <v/>
      </c>
      <c r="BD169" s="102" t="n">
        <v>39293</v>
      </c>
      <c r="BE169" s="102" t="n">
        <v>27923</v>
      </c>
      <c r="BF169" s="103">
        <f>IF(AND(ISNUMBER(BD169),ISNUMBER(BE169),N(BE169)&gt;0),BD169/BE169,"")</f>
        <v/>
      </c>
      <c r="BG169" s="100" t="inlineStr">
        <is>
          <t>N</t>
        </is>
      </c>
      <c r="BH169" s="100" t="inlineStr">
        <is>
          <t>List Price $38.99</t>
        </is>
      </c>
    </row>
    <row r="170" ht="62" customHeight="1">
      <c r="A170" s="10">
        <f>_xlfn.IMAGE("https://images-na.ssl-images-amazon.com/images/I/813TGJ9FKjL.jpg")</f>
        <v/>
      </c>
      <c r="B170" s="86" t="inlineStr">
        <is>
          <t>Horbaunal</t>
        </is>
      </c>
      <c r="C170" s="32" t="inlineStr">
        <is>
          <t>Horbaunal 6 Piece Satin Sheet Set Queen, Emerald Green Queen Bed Sheets</t>
        </is>
      </c>
      <c r="D170" s="86" t="inlineStr">
        <is>
          <t>Beatable</t>
        </is>
      </c>
      <c r="E170" s="87" t="inlineStr">
        <is>
          <t>B0B4MQCT87</t>
        </is>
      </c>
      <c r="F170" s="87" t="inlineStr">
        <is>
          <t>B0B4MQ1PP1</t>
        </is>
      </c>
      <c r="G170" s="86" t="inlineStr">
        <is>
          <t>Queen</t>
        </is>
      </c>
      <c r="H170" s="86" t="inlineStr">
        <is>
          <t>Green</t>
        </is>
      </c>
      <c r="I170" s="88" t="n">
        <v>23</v>
      </c>
      <c r="J170" s="32" t="inlineStr"/>
      <c r="K170" s="89" t="n">
        <v>28.99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23 children</t>
        </is>
      </c>
      <c r="R170" s="88" t="n">
        <v>110638</v>
      </c>
      <c r="S170" s="88" t="n">
        <v>35</v>
      </c>
      <c r="T170" s="93">
        <f>IF(AND(ISNUMBER(K170),ISNUMBER(S170)),K170*S170*52/12,"")</f>
        <v/>
      </c>
      <c r="U170" s="94" t="n">
        <v>4.4</v>
      </c>
      <c r="V170" s="88" t="n">
        <v>772</v>
      </c>
      <c r="W170" s="95" t="n">
        <v>46307</v>
      </c>
      <c r="X170" s="95" t="n">
        <v>44733</v>
      </c>
      <c r="Y170" s="86" t="inlineStr">
        <is>
          <t>FBA</t>
        </is>
      </c>
      <c r="Z170" s="86" t="inlineStr">
        <is>
          <t>CN</t>
        </is>
      </c>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28.99</v>
      </c>
      <c r="AV170" s="98" t="inlineStr">
        <is>
          <t>none</t>
        </is>
      </c>
      <c r="AW170" s="98" t="inlineStr">
        <is>
          <t>Y</t>
        </is>
      </c>
      <c r="AX170" s="98" t="inlineStr">
        <is>
          <t>2026-10-13 12:13:05</t>
        </is>
      </c>
      <c r="AY170" s="100" t="inlineStr">
        <is>
          <t>Prime Exclusive Discount</t>
        </is>
      </c>
      <c r="AZ170" s="100" t="inlineStr">
        <is>
          <t>11-01 to 12-01</t>
        </is>
      </c>
      <c r="BA170" s="101" t="n">
        <v>33.43</v>
      </c>
      <c r="BB170" s="101" t="n">
        <v>28.87</v>
      </c>
      <c r="BC170" s="90">
        <f>IF(AND(ISNUMBER(BA170),ISNUMBER(BB170),N(BA170)&gt;0),1-BB170/BA170,"")</f>
        <v/>
      </c>
      <c r="BD170" s="102" t="n">
        <v>93675</v>
      </c>
      <c r="BE170" s="102" t="n">
        <v>83926</v>
      </c>
      <c r="BF170" s="103">
        <f>IF(AND(ISNUMBER(BD170),ISNUMBER(BE170),N(BE170)&gt;0),BD170/BE170,"")</f>
        <v/>
      </c>
      <c r="BG170" s="100" t="inlineStr">
        <is>
          <t>N</t>
        </is>
      </c>
      <c r="BH170" s="100" t="inlineStr">
        <is>
          <t>Prime Exclusive already running before BFCM week; Buy Box RAISED in BFCM week (median $37.99 vs $33.43 before); List Price $45.49</t>
        </is>
      </c>
    </row>
    <row r="171" ht="62" customHeight="1">
      <c r="A171" s="10">
        <f>_xlfn.IMAGE("https://m.media-amazon.com/images/I/81Ct-nDEEnL._AC_SL1500_.jpg")</f>
        <v/>
      </c>
      <c r="B171" s="86" t="inlineStr">
        <is>
          <t>VACVELT</t>
        </is>
      </c>
      <c r="C171" s="32" t="inlineStr">
        <is>
          <t>Satin Sheets</t>
        </is>
      </c>
      <c r="D171" s="86" t="inlineStr">
        <is>
          <t>Beatable</t>
        </is>
      </c>
      <c r="E171" s="87" t="inlineStr">
        <is>
          <t>B0C9T1VY8J</t>
        </is>
      </c>
      <c r="F171" s="87" t="inlineStr">
        <is>
          <t>B0C1GJZB6F</t>
        </is>
      </c>
      <c r="G171" s="86" t="inlineStr">
        <is>
          <t>Full</t>
        </is>
      </c>
      <c r="H171" s="86" t="inlineStr">
        <is>
          <t>Hot Pink</t>
        </is>
      </c>
      <c r="I171" s="88" t="n">
        <v>35</v>
      </c>
      <c r="J171" s="32" t="inlineStr">
        <is>
          <t>B0C1GN34VQ (59%), B0C1GJZB6F (15%), B0C1GN34VL (8%)</t>
        </is>
      </c>
      <c r="K171" s="89" t="n">
        <v>21.99</v>
      </c>
      <c r="L171" s="89" t="n"/>
      <c r="M171" s="90">
        <f>IF(AND(ISNUMBER(L171),ISNUMBER(K171),N(K171)&gt;0),L171/K171-1,"")</f>
        <v/>
      </c>
      <c r="N171" s="91">
        <f>IF(M171="","No List Price",IF(M171&lt;=0,"At/below price",IF(M171&lt;=0.12,"&lt;=12% STR zone",IF(M171&lt;=0.25,"12-25%","&gt;25% over"))))</f>
        <v/>
      </c>
      <c r="O171" s="89" t="n">
        <v>29.95</v>
      </c>
      <c r="P171" s="92">
        <f>IF(AND(ISNUMBER(K171),ISNUMBER(O171),N(O171)&gt;0),K171/O171-1,"")</f>
        <v/>
      </c>
      <c r="Q171" s="32" t="inlineStr">
        <is>
          <t>Same size (Full). Ours live: Helium 10 Xray, 2026-10-13; 27 children</t>
        </is>
      </c>
      <c r="R171" s="88" t="n">
        <v>57010</v>
      </c>
      <c r="S171" s="88" t="n">
        <v>35</v>
      </c>
      <c r="T171" s="93">
        <f>IF(AND(ISNUMBER(K171),ISNUMBER(S171)),K171*S171*52/12,"")</f>
        <v/>
      </c>
      <c r="U171" s="94" t="n">
        <v>4.5</v>
      </c>
      <c r="V171" s="88" t="n">
        <v>1017</v>
      </c>
      <c r="W171" s="95" t="n">
        <v>46307</v>
      </c>
      <c r="X171" s="95" t="n"/>
      <c r="Y171" s="86" t="n"/>
      <c r="Z171" s="86" t="n"/>
      <c r="AA171" s="88" t="n">
        <v>23621</v>
      </c>
      <c r="AB171" s="88" t="n">
        <v>569</v>
      </c>
      <c r="AC171" s="96" t="n">
        <v>0.9628617755387157</v>
      </c>
      <c r="AD171" s="96" t="n">
        <v>0.03713822446128445</v>
      </c>
      <c r="AE171" s="32" t="inlineStr">
        <is>
          <t>satin sheets</t>
        </is>
      </c>
      <c r="AF171" s="96" t="n">
        <v>0.08949663435078956</v>
      </c>
      <c r="AG171" s="96" t="n"/>
      <c r="AH171" s="96" t="n"/>
      <c r="AI171" s="96" t="n">
        <v>0.02341137123745819</v>
      </c>
      <c r="AJ171" s="88" t="n">
        <v>314</v>
      </c>
      <c r="AK171" s="88" t="n">
        <v>211</v>
      </c>
      <c r="AL171" s="88" t="n">
        <v>69</v>
      </c>
      <c r="AM171" s="88" t="n">
        <v>255</v>
      </c>
      <c r="AN171" s="88" t="n">
        <v>16</v>
      </c>
      <c r="AO171" s="88" t="n">
        <v>7</v>
      </c>
      <c r="AP171" s="97" t="n">
        <v>1</v>
      </c>
      <c r="AQ171" s="92" t="n">
        <v>0.2448979591836733</v>
      </c>
      <c r="AR171" s="98" t="inlineStr">
        <is>
          <t>N</t>
        </is>
      </c>
      <c r="AS171" s="98" t="inlineStr">
        <is>
          <t>none</t>
        </is>
      </c>
      <c r="AT171" s="104" t="n"/>
      <c r="AU171" s="99" t="n">
        <v>21.99</v>
      </c>
      <c r="AV171" s="98" t="inlineStr">
        <is>
          <t>none</t>
        </is>
      </c>
      <c r="AW171" s="98" t="inlineStr">
        <is>
          <t>Y</t>
        </is>
      </c>
      <c r="AX171" s="98" t="inlineStr">
        <is>
          <t>2026-10-13 12:13:48</t>
        </is>
      </c>
      <c r="AY171" s="100" t="inlineStr">
        <is>
          <t>Prime Exclusive Discount</t>
        </is>
      </c>
      <c r="AZ171" s="100" t="inlineStr">
        <is>
          <t>11-18 to 12-05</t>
        </is>
      </c>
      <c r="BA171" s="101" t="n">
        <v>20.99</v>
      </c>
      <c r="BB171" s="101" t="n">
        <v>17.67</v>
      </c>
      <c r="BC171" s="90">
        <f>IF(AND(ISNUMBER(BA171),ISNUMBER(BB171),N(BA171)&gt;0),1-BB171/BA171,"")</f>
        <v/>
      </c>
      <c r="BD171" s="102" t="n">
        <v>56350</v>
      </c>
      <c r="BE171" s="102" t="n">
        <v>47030</v>
      </c>
      <c r="BF171" s="103">
        <f>IF(AND(ISNUMBER(BD171),ISNUMBER(BE171),N(BE171)&gt;0),BD171/BE171,"")</f>
        <v/>
      </c>
      <c r="BG171" s="100" t="inlineStr">
        <is>
          <t>N</t>
        </is>
      </c>
      <c r="BH171" s="100" t="inlineStr">
        <is>
          <t>Prime Exclusive already running before BFCM week; Buy Box RAISED in BFCM week (median $25.99 vs $20.99 before); List Price $46.38</t>
        </is>
      </c>
    </row>
    <row r="172" ht="62" customHeight="1">
      <c r="A172" s="10">
        <f>_xlfn.IMAGE("https://m.media-amazon.com/images/I/71NLoiG0PKL._AC_SL1500_.jpg")</f>
        <v/>
      </c>
      <c r="B172" s="86" t="inlineStr">
        <is>
          <t>Homiest</t>
        </is>
      </c>
      <c r="C172" s="32" t="inlineStr">
        <is>
          <t>Satin Sheets</t>
        </is>
      </c>
      <c r="D172" s="86" t="inlineStr">
        <is>
          <t>Beatable</t>
        </is>
      </c>
      <c r="E172" s="87" t="inlineStr">
        <is>
          <t>B0DYJKM99H</t>
        </is>
      </c>
      <c r="F172" s="87" t="inlineStr">
        <is>
          <t>B0DYJHHJQL</t>
        </is>
      </c>
      <c r="G172" s="86" t="inlineStr">
        <is>
          <t>Queen</t>
        </is>
      </c>
      <c r="H172" s="86" t="inlineStr">
        <is>
          <t>Blush Pink</t>
        </is>
      </c>
      <c r="I172" s="88" t="n"/>
      <c r="J172" s="32" t="inlineStr"/>
      <c r="K172" s="89" t="n">
        <v>27.99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23 children</t>
        </is>
      </c>
      <c r="R172" s="88" t="n">
        <v>89437</v>
      </c>
      <c r="S172" s="88" t="n">
        <v>18</v>
      </c>
      <c r="T172" s="93">
        <f>IF(AND(ISNUMBER(K172),ISNUMBER(S172)),K172*S172*52/12,"")</f>
        <v/>
      </c>
      <c r="U172" s="94" t="n">
        <v>4.5</v>
      </c>
      <c r="V172" s="88" t="n">
        <v>205</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27.99</v>
      </c>
      <c r="AV172" s="98" t="inlineStr">
        <is>
          <t>none</t>
        </is>
      </c>
      <c r="AW172" s="98" t="inlineStr">
        <is>
          <t>Y</t>
        </is>
      </c>
      <c r="AX172" s="98" t="inlineStr">
        <is>
          <t>2026-10-13 12:12:53</t>
        </is>
      </c>
      <c r="AY172" s="100" t="inlineStr">
        <is>
          <t>None</t>
        </is>
      </c>
      <c r="AZ172" s="105" t="n"/>
      <c r="BA172" s="101" t="n">
        <v>28.99</v>
      </c>
      <c r="BB172" s="101" t="n">
        <v>28.99</v>
      </c>
      <c r="BC172" s="90">
        <f>IF(AND(ISNUMBER(BA172),ISNUMBER(BB172),N(BA172)&gt;0),1-BB172/BA172,"")</f>
        <v/>
      </c>
      <c r="BD172" s="102" t="n">
        <v>63419</v>
      </c>
      <c r="BE172" s="102" t="n">
        <v>61469</v>
      </c>
      <c r="BF172" s="103">
        <f>IF(AND(ISNUMBER(BD172),ISNUMBER(BE172),N(BE172)&gt;0),BD172/BE172,"")</f>
        <v/>
      </c>
      <c r="BG172" s="100" t="inlineStr">
        <is>
          <t>N</t>
        </is>
      </c>
      <c r="BH172" s="100" t="inlineStr">
        <is>
          <t>List Price $34.99</t>
        </is>
      </c>
    </row>
    <row r="173" ht="62" customHeight="1">
      <c r="A173" s="10">
        <f>_xlfn.IMAGE("https://images-na.ssl-images-amazon.com/images/I/71eq-pAu2pL.jpg")</f>
        <v/>
      </c>
      <c r="B173" s="86" t="inlineStr">
        <is>
          <t>LIFCOM</t>
        </is>
      </c>
      <c r="C173" s="32" t="inlineStr">
        <is>
          <t>LIFCOM Satin Sheets Queen,4Pcs Bed Set with 15" Deep Pocket,Brown</t>
        </is>
      </c>
      <c r="D173" s="86" t="inlineStr">
        <is>
          <t>Beatable</t>
        </is>
      </c>
      <c r="E173" s="87" t="inlineStr">
        <is>
          <t>B0DBVYL693</t>
        </is>
      </c>
      <c r="F173" s="87" t="inlineStr">
        <is>
          <t>B0DCC78S4N</t>
        </is>
      </c>
      <c r="G173" s="86" t="inlineStr">
        <is>
          <t>Queen</t>
        </is>
      </c>
      <c r="H173" s="86" t="inlineStr">
        <is>
          <t>Brown</t>
        </is>
      </c>
      <c r="I173" s="88" t="n">
        <v>73</v>
      </c>
      <c r="J173" s="32" t="inlineStr">
        <is>
          <t>B0DCC5ZQNW (21%), B0DCC78S4N (17%), B0DC5L2BHY (9%), B0DCC8MLV5 (8%), B0DCC8WZCH (7%)</t>
        </is>
      </c>
      <c r="K173" s="89" t="n">
        <v>23.99</v>
      </c>
      <c r="L173" s="89" t="n"/>
      <c r="M173" s="90">
        <f>IF(AND(ISNUMBER(L173),ISNUMBER(K173),N(K173)&gt;0),L173/K173-1,"")</f>
        <v/>
      </c>
      <c r="N173" s="91">
        <f>IF(M173="","No List Price",IF(M173&lt;=0,"At/below price",IF(M173&lt;=0.12,"&lt;=12% STR zone",IF(M173&lt;=0.25,"12-25%","&gt;25% over"))))</f>
        <v/>
      </c>
      <c r="O173" s="89" t="n">
        <v>31.95</v>
      </c>
      <c r="P173" s="92">
        <f>IF(AND(ISNUMBER(K173),ISNUMBER(O173),N(O173)&gt;0),K173/O173-1,"")</f>
        <v/>
      </c>
      <c r="Q173" s="32" t="inlineStr">
        <is>
          <t>Same size (Queen). Ours live: Helium 10 Xray, 2026-10-13; 23 children</t>
        </is>
      </c>
      <c r="R173" s="88" t="n">
        <v>96002</v>
      </c>
      <c r="S173" s="88" t="n">
        <v>18</v>
      </c>
      <c r="T173" s="93">
        <f>IF(AND(ISNUMBER(K173),ISNUMBER(S173)),K173*S173*52/12,"")</f>
        <v/>
      </c>
      <c r="U173" s="94" t="n">
        <v>4.2</v>
      </c>
      <c r="V173" s="88" t="n">
        <v>361</v>
      </c>
      <c r="W173" s="95" t="n">
        <v>46307</v>
      </c>
      <c r="X173" s="95" t="n">
        <v>45510</v>
      </c>
      <c r="Y173" s="86" t="inlineStr">
        <is>
          <t>FBA</t>
        </is>
      </c>
      <c r="Z173" s="86" t="inlineStr">
        <is>
          <t>CN</t>
        </is>
      </c>
      <c r="AA173" s="88" t="n">
        <v>23278</v>
      </c>
      <c r="AB173" s="88" t="n">
        <v>634</v>
      </c>
      <c r="AC173" s="96" t="n">
        <v>0.4926462797491192</v>
      </c>
      <c r="AD173" s="96" t="n">
        <v>0.507353720250881</v>
      </c>
      <c r="AE173" s="32" t="inlineStr">
        <is>
          <t>brown sheets</t>
        </is>
      </c>
      <c r="AF173" s="96" t="n">
        <v>0.8651086863132571</v>
      </c>
      <c r="AG173" s="96" t="n"/>
      <c r="AH173" s="96" t="n"/>
      <c r="AI173" s="96" t="n">
        <v>0.1246241086003952</v>
      </c>
      <c r="AJ173" s="88" t="n">
        <v>313</v>
      </c>
      <c r="AK173" s="88" t="n">
        <v>235</v>
      </c>
      <c r="AL173" s="88" t="n">
        <v>50</v>
      </c>
      <c r="AM173" s="88" t="n">
        <v>321</v>
      </c>
      <c r="AN173" s="88" t="n">
        <v>45</v>
      </c>
      <c r="AO173" s="88" t="n">
        <v>45</v>
      </c>
      <c r="AP173" s="97" t="n">
        <v>0.5539772727272727</v>
      </c>
      <c r="AQ173" s="92" t="n">
        <v>-0.4424040066777963</v>
      </c>
      <c r="AR173" s="98" t="inlineStr">
        <is>
          <t>N</t>
        </is>
      </c>
      <c r="AS173" s="98" t="inlineStr">
        <is>
          <t>none</t>
        </is>
      </c>
      <c r="AT173" s="104" t="n"/>
      <c r="AU173" s="99" t="n">
        <v>23.99</v>
      </c>
      <c r="AV173" s="98" t="inlineStr">
        <is>
          <t>none</t>
        </is>
      </c>
      <c r="AW173" s="98" t="inlineStr">
        <is>
          <t>Y</t>
        </is>
      </c>
      <c r="AX173" s="98" t="inlineStr">
        <is>
          <t>2026-10-13 12:13:09</t>
        </is>
      </c>
      <c r="AY173" s="100" t="inlineStr">
        <is>
          <t>Prime Exclusive Discount</t>
        </is>
      </c>
      <c r="AZ173" s="100" t="inlineStr">
        <is>
          <t>11-24 to 12-01</t>
        </is>
      </c>
      <c r="BA173" s="101" t="n">
        <v>22.99</v>
      </c>
      <c r="BB173" s="101" t="n">
        <v>19.27</v>
      </c>
      <c r="BC173" s="90">
        <f>IF(AND(ISNUMBER(BA173),ISNUMBER(BB173),N(BA173)&gt;0),1-BB173/BA173,"")</f>
        <v/>
      </c>
      <c r="BD173" s="102" t="n">
        <v>66815</v>
      </c>
      <c r="BE173" s="102" t="n">
        <v>49602</v>
      </c>
      <c r="BF173" s="103">
        <f>IF(AND(ISNUMBER(BD173),ISNUMBER(BE173),N(BE173)&gt;0),BD173/BE173,"")</f>
        <v/>
      </c>
      <c r="BG173" s="100" t="inlineStr">
        <is>
          <t>N</t>
        </is>
      </c>
      <c r="BH173" s="100" t="inlineStr">
        <is>
          <t>Buy Box RAISED in BFCM week (median $24.39 vs $22.99 before); List Price $31.99</t>
        </is>
      </c>
    </row>
    <row r="174" ht="62" customHeight="1">
      <c r="A174" s="10">
        <f>_xlfn.IMAGE("https://images-na.ssl-images-amazon.com/images/I/71Upo7a638S.jpg")</f>
        <v/>
      </c>
      <c r="B174" s="86" t="inlineStr">
        <is>
          <t>Homiest</t>
        </is>
      </c>
      <c r="C174" s="32" t="inlineStr">
        <is>
          <t>Satin Sheets</t>
        </is>
      </c>
      <c r="D174" s="86" t="inlineStr">
        <is>
          <t>Beatable</t>
        </is>
      </c>
      <c r="E174" s="87" t="inlineStr">
        <is>
          <t>B07XBR22W1</t>
        </is>
      </c>
      <c r="F174" s="87" t="inlineStr">
        <is>
          <t>B0B5Z2B9NN</t>
        </is>
      </c>
      <c r="G174" s="86" t="inlineStr">
        <is>
          <t>EXTRA DEEP pocket - Full size</t>
        </is>
      </c>
      <c r="H174" s="86" t="inlineStr">
        <is>
          <t>Blackish Green</t>
        </is>
      </c>
      <c r="I174" s="88" t="n">
        <v>70</v>
      </c>
      <c r="J174" s="32" t="inlineStr">
        <is>
          <t>B07VTMDK79 (19%), B0C2824DHT (16%), B07XPVHHP9 (9%), B07HN29LH1 (6%), B0B2QZ8NKY (5%)</t>
        </is>
      </c>
      <c r="K174" s="89" t="n">
        <v>23.99</v>
      </c>
      <c r="L174" s="89" t="n">
        <v>25.99</v>
      </c>
      <c r="M174" s="90">
        <f>IF(AND(ISNUMBER(L174),ISNUMBER(K174),N(K174)&gt;0),L174/K174-1,"")</f>
        <v/>
      </c>
      <c r="N174" s="91">
        <f>IF(M174="","No List Price",IF(M174&lt;=0,"At/below price",IF(M174&lt;=0.12,"&lt;=12% STR zone",IF(M174&lt;=0.25,"12-25%","&gt;25% over"))))</f>
        <v/>
      </c>
      <c r="O174" s="89" t="n">
        <v>32.03724980901451</v>
      </c>
      <c r="P174" s="92">
        <f>IF(AND(ISNUMBER(K174),ISNUMBER(O174),N(O174)&gt;0),K174/O174-1,"")</f>
        <v/>
      </c>
      <c r="Q174" s="32" t="inlineStr">
        <is>
          <t>vs our blended price (Command Center, Mar 2026 - STALE)</t>
        </is>
      </c>
      <c r="R174" s="88" t="n">
        <v>28165</v>
      </c>
      <c r="S174" s="88" t="n">
        <v>5</v>
      </c>
      <c r="T174" s="93">
        <f>IF(AND(ISNUMBER(K174),ISNUMBER(S174)),K174*S174*52/12,"")</f>
        <v/>
      </c>
      <c r="U174" s="94" t="n">
        <v>4.4</v>
      </c>
      <c r="V174" s="88" t="n">
        <v>12125</v>
      </c>
      <c r="W174" s="95" t="n">
        <v>46307</v>
      </c>
      <c r="X174" s="95" t="n"/>
      <c r="Y174" s="86" t="n"/>
      <c r="Z174" s="86" t="n"/>
      <c r="AA174" s="88" t="n">
        <v>20002</v>
      </c>
      <c r="AB174" s="88" t="n">
        <v>618</v>
      </c>
      <c r="AC174" s="96" t="n">
        <v>1</v>
      </c>
      <c r="AD174" s="96" t="n">
        <v>0</v>
      </c>
      <c r="AE174" s="32" t="inlineStr">
        <is>
          <t>satin sheets</t>
        </is>
      </c>
      <c r="AF174" s="96" t="n">
        <v>0.08344165583441655</v>
      </c>
      <c r="AG174" s="96" t="n"/>
      <c r="AH174" s="96" t="n"/>
      <c r="AI174" s="96" t="n">
        <v>0.02124787521247875</v>
      </c>
      <c r="AJ174" s="88" t="n">
        <v>329</v>
      </c>
      <c r="AK174" s="88" t="n">
        <v>225</v>
      </c>
      <c r="AL174" s="88" t="n">
        <v>76</v>
      </c>
      <c r="AM174" s="88" t="n">
        <v>289</v>
      </c>
      <c r="AN174" s="88" t="n">
        <v>0</v>
      </c>
      <c r="AO174" s="88" t="n">
        <v>0</v>
      </c>
      <c r="AP174" s="97" t="n"/>
      <c r="AQ174" s="92" t="n"/>
      <c r="AR174" s="98" t="inlineStr">
        <is>
          <t>Y</t>
        </is>
      </c>
      <c r="AS174" s="98" t="inlineStr">
        <is>
          <t>Typical price</t>
        </is>
      </c>
      <c r="AT174" s="99" t="n">
        <v>25.99</v>
      </c>
      <c r="AU174" s="99" t="n">
        <v>23.99</v>
      </c>
      <c r="AV174" s="98" t="inlineStr">
        <is>
          <t>none</t>
        </is>
      </c>
      <c r="AW174" s="98" t="inlineStr">
        <is>
          <t>Y</t>
        </is>
      </c>
      <c r="AX174" s="98" t="inlineStr">
        <is>
          <t>2026-10-13 12:12:56</t>
        </is>
      </c>
      <c r="AY174" s="100" t="inlineStr">
        <is>
          <t>Prime Exclusive Discount</t>
        </is>
      </c>
      <c r="AZ174" s="100" t="inlineStr">
        <is>
          <t>11-04 to 12-05</t>
        </is>
      </c>
      <c r="BA174" s="101" t="n">
        <v>23.39</v>
      </c>
      <c r="BB174" s="101" t="n">
        <v>21.32</v>
      </c>
      <c r="BC174" s="90">
        <f>IF(AND(ISNUMBER(BA174),ISNUMBER(BB174),N(BA174)&gt;0),1-BB174/BA174,"")</f>
        <v/>
      </c>
      <c r="BD174" s="102" t="n">
        <v>20924</v>
      </c>
      <c r="BE174" s="102" t="n">
        <v>20898</v>
      </c>
      <c r="BF174" s="103">
        <f>IF(AND(ISNUMBER(BD174),ISNUMBER(BE174),N(BE174)&gt;0),BD174/BE174,"")</f>
        <v/>
      </c>
      <c r="BG174" s="100" t="inlineStr">
        <is>
          <t>N</t>
        </is>
      </c>
      <c r="BH174" s="100" t="inlineStr">
        <is>
          <t>Prime Exclusive already running before BFCM week; List Price $52.78</t>
        </is>
      </c>
    </row>
    <row r="175" ht="62" customHeight="1">
      <c r="A175" s="10">
        <f>_xlfn.IMAGE("https://m.media-amazon.com/images/I/81fhEyi-eTL._AC_SL1500_.jpg")</f>
        <v/>
      </c>
      <c r="B175" s="86" t="inlineStr">
        <is>
          <t>Manyshofu</t>
        </is>
      </c>
      <c r="C175" s="32" t="inlineStr">
        <is>
          <t>Satin Sheets</t>
        </is>
      </c>
      <c r="D175" s="86" t="inlineStr">
        <is>
          <t>Beatable</t>
        </is>
      </c>
      <c r="E175" s="87" t="inlineStr">
        <is>
          <t>B09YQW7HBK</t>
        </is>
      </c>
      <c r="F175" s="87" t="inlineStr">
        <is>
          <t>B09S5RNLN9</t>
        </is>
      </c>
      <c r="G175" s="86" t="inlineStr">
        <is>
          <t>California King</t>
        </is>
      </c>
      <c r="H175" s="86" t="inlineStr">
        <is>
          <t>Dark Green</t>
        </is>
      </c>
      <c r="I175" s="88" t="n"/>
      <c r="J175" s="32" t="inlineStr"/>
      <c r="K175" s="89" t="n">
        <v>31.99</v>
      </c>
      <c r="L175" s="89" t="n"/>
      <c r="M175" s="90">
        <f>IF(AND(ISNUMBER(L175),ISNUMBER(K175),N(K175)&gt;0),L175/K175-1,"")</f>
        <v/>
      </c>
      <c r="N175" s="91">
        <f>IF(M175="","No List Price",IF(M175&lt;=0,"At/below price",IF(M175&lt;=0.12,"&lt;=12% STR zone",IF(M175&lt;=0.25,"12-25%","&gt;25% over"))))</f>
        <v/>
      </c>
      <c r="O175" s="89" t="n">
        <v>32.03724980901451</v>
      </c>
      <c r="P175" s="92">
        <f>IF(AND(ISNUMBER(K175),ISNUMBER(O175),N(O175)&gt;0),K175/O175-1,"")</f>
        <v/>
      </c>
      <c r="Q175" s="32" t="inlineStr">
        <is>
          <t>vs our blended price (Command Center, Mar 2026 - STALE)</t>
        </is>
      </c>
      <c r="R175" s="88" t="n">
        <v>300374</v>
      </c>
      <c r="S175" s="88" t="n">
        <v>5</v>
      </c>
      <c r="T175" s="93">
        <f>IF(AND(ISNUMBER(K175),ISNUMBER(S175)),K175*S175*52/12,"")</f>
        <v/>
      </c>
      <c r="U175" s="94" t="n">
        <v>4.3</v>
      </c>
      <c r="V175" s="88" t="n">
        <v>907</v>
      </c>
      <c r="W175" s="95" t="n">
        <v>46307</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28.99</v>
      </c>
      <c r="AV175" s="98" t="inlineStr">
        <is>
          <t>none</t>
        </is>
      </c>
      <c r="AW175" s="98" t="inlineStr">
        <is>
          <t>Y</t>
        </is>
      </c>
      <c r="AX175" s="98" t="inlineStr">
        <is>
          <t>2026-10-13 12:13:29</t>
        </is>
      </c>
      <c r="AY175" s="100" t="inlineStr">
        <is>
          <t>None</t>
        </is>
      </c>
      <c r="AZ175" s="105" t="n"/>
      <c r="BA175" s="101" t="n">
        <v>35.99</v>
      </c>
      <c r="BB175" s="101" t="n">
        <v>43.99</v>
      </c>
      <c r="BC175" s="90">
        <f>IF(AND(ISNUMBER(BA175),ISNUMBER(BB175),N(BA175)&gt;0),1-BB175/BA175,"")</f>
        <v/>
      </c>
      <c r="BD175" s="102" t="n">
        <v>162880</v>
      </c>
      <c r="BE175" s="102" t="n">
        <v>197382</v>
      </c>
      <c r="BF175" s="103">
        <f>IF(AND(ISNUMBER(BD175),ISNUMBER(BE175),N(BE175)&gt;0),BD175/BE175,"")</f>
        <v/>
      </c>
      <c r="BG175" s="100" t="inlineStr">
        <is>
          <t>Y</t>
        </is>
      </c>
      <c r="BH175" s="100" t="inlineStr">
        <is>
          <t>Buy Box RAISED in BFCM week (median $43.99 vs $35.99 before); List Price $46.99</t>
        </is>
      </c>
    </row>
    <row r="176" ht="62" customHeight="1">
      <c r="A176" s="10">
        <f>_xlfn.IMAGE("https://m.media-amazon.com/images/I/71kVc8L0urL._AC_SL1500_.jpg")</f>
        <v/>
      </c>
      <c r="B176" s="86" t="inlineStr">
        <is>
          <t>Martex</t>
        </is>
      </c>
      <c r="C176" s="32" t="inlineStr">
        <is>
          <t>Satin Sheets</t>
        </is>
      </c>
      <c r="D176" s="86" t="inlineStr">
        <is>
          <t>Beatable</t>
        </is>
      </c>
      <c r="E176" s="87" t="inlineStr">
        <is>
          <t>B0DLGX8P9D</t>
        </is>
      </c>
      <c r="F176" s="87" t="inlineStr">
        <is>
          <t>B07X49LFDC</t>
        </is>
      </c>
      <c r="G176" s="86" t="inlineStr">
        <is>
          <t>Queen</t>
        </is>
      </c>
      <c r="H176" s="86" t="inlineStr">
        <is>
          <t>Pink</t>
        </is>
      </c>
      <c r="I176" s="88" t="n"/>
      <c r="J176" s="32" t="inlineStr"/>
      <c r="K176" s="89" t="n">
        <v>23.34</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23 children</t>
        </is>
      </c>
      <c r="R176" s="88" t="n">
        <v>52458</v>
      </c>
      <c r="S176" s="88" t="n">
        <v>5</v>
      </c>
      <c r="T176" s="93">
        <f>IF(AND(ISNUMBER(K176),ISNUMBER(S176)),K176*S176*52/12,"")</f>
        <v/>
      </c>
      <c r="U176" s="94" t="n">
        <v>4.3</v>
      </c>
      <c r="V176" s="88" t="n">
        <v>2260</v>
      </c>
      <c r="W176" s="95" t="n">
        <v>46307</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Typical price</t>
        </is>
      </c>
      <c r="AT176" s="99" t="n">
        <v>26.99</v>
      </c>
      <c r="AU176" s="99" t="n">
        <v>22.99</v>
      </c>
      <c r="AV176" s="98" t="inlineStr">
        <is>
          <t>none</t>
        </is>
      </c>
      <c r="AW176" s="98" t="inlineStr">
        <is>
          <t>Y</t>
        </is>
      </c>
      <c r="AX176" s="98" t="inlineStr">
        <is>
          <t>2026-10-13 12:13:32</t>
        </is>
      </c>
      <c r="AY176" s="100" t="inlineStr">
        <is>
          <t>None</t>
        </is>
      </c>
      <c r="AZ176" s="105" t="n"/>
      <c r="BA176" s="101" t="n">
        <v>23.21</v>
      </c>
      <c r="BB176" s="101" t="n">
        <v>26.99</v>
      </c>
      <c r="BC176" s="90">
        <f>IF(AND(ISNUMBER(BA176),ISNUMBER(BB176),N(BA176)&gt;0),1-BB176/BA176,"")</f>
        <v/>
      </c>
      <c r="BD176" s="102" t="n">
        <v>29868</v>
      </c>
      <c r="BE176" s="102" t="n">
        <v>28928</v>
      </c>
      <c r="BF176" s="103">
        <f>IF(AND(ISNUMBER(BD176),ISNUMBER(BE176),N(BE176)&gt;0),BD176/BE176,"")</f>
        <v/>
      </c>
      <c r="BG176" s="100" t="inlineStr">
        <is>
          <t>N</t>
        </is>
      </c>
      <c r="BH176" s="100" t="inlineStr">
        <is>
          <t>Buy Box RAISED in BFCM week (median $26.99 vs $23.21 before); List Price $34.99</t>
        </is>
      </c>
    </row>
    <row r="177" ht="62" customHeight="1">
      <c r="A177" s="10">
        <f>_xlfn.IMAGE("https://images-na.ssl-images-amazon.com/images/I/71TbH0l5XfL.jpg")</f>
        <v/>
      </c>
      <c r="B177" s="86" t="inlineStr">
        <is>
          <t>P Pothuiny</t>
        </is>
      </c>
      <c r="C177" s="32" t="inlineStr">
        <is>
          <t>P Pothuiny 6-Piece Queen Satin Sheet Set Burgundy Silky Sheets</t>
        </is>
      </c>
      <c r="D177" s="86" t="inlineStr">
        <is>
          <t>Poor</t>
        </is>
      </c>
      <c r="E177" s="87" t="inlineStr">
        <is>
          <t>B096P2MYZQ</t>
        </is>
      </c>
      <c r="F177" s="87" t="inlineStr">
        <is>
          <t>B08QMF6D5W</t>
        </is>
      </c>
      <c r="G177" s="86" t="inlineStr">
        <is>
          <t>Queen</t>
        </is>
      </c>
      <c r="H177" s="86" t="inlineStr">
        <is>
          <t>Burgundy</t>
        </is>
      </c>
      <c r="I177" s="88" t="n">
        <v>47</v>
      </c>
      <c r="J177" s="32" t="inlineStr">
        <is>
          <t>B08QMF6D5W (52%), B08QMSJFYZ (19%), B08QMYV2YR (10%)</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23 children</t>
        </is>
      </c>
      <c r="R177" s="88" t="n">
        <v>20031</v>
      </c>
      <c r="S177" s="88" t="n">
        <v>104</v>
      </c>
      <c r="T177" s="93">
        <f>IF(AND(ISNUMBER(K177),ISNUMBER(S177)),K177*S177*52/12,"")</f>
        <v/>
      </c>
      <c r="U177" s="94" t="n">
        <v>4.4</v>
      </c>
      <c r="V177" s="88" t="n">
        <v>4031</v>
      </c>
      <c r="W177" s="95" t="n">
        <v>46307</v>
      </c>
      <c r="X177" s="95" t="n">
        <v>44180</v>
      </c>
      <c r="Y177" s="86" t="inlineStr">
        <is>
          <t>FBA</t>
        </is>
      </c>
      <c r="Z177" s="86" t="inlineStr">
        <is>
          <t>CN</t>
        </is>
      </c>
      <c r="AA177" s="88" t="n">
        <v>66544</v>
      </c>
      <c r="AB177" s="88" t="n">
        <v>832</v>
      </c>
      <c r="AC177" s="96" t="n">
        <v>0.9166959214955518</v>
      </c>
      <c r="AD177" s="96" t="n">
        <v>0.08330407850444821</v>
      </c>
      <c r="AE177" s="32" t="inlineStr">
        <is>
          <t>silk sheets</t>
        </is>
      </c>
      <c r="AF177" s="96" t="n">
        <v>0.1859972349122385</v>
      </c>
      <c r="AG177" s="96" t="n">
        <v>0.5380349843712431</v>
      </c>
      <c r="AH177" s="96" t="n"/>
      <c r="AI177" s="96" t="n">
        <v>0.01920533782159173</v>
      </c>
      <c r="AJ177" s="88" t="n">
        <v>477</v>
      </c>
      <c r="AK177" s="88" t="n">
        <v>235</v>
      </c>
      <c r="AL177" s="88" t="n">
        <v>185</v>
      </c>
      <c r="AM177" s="88" t="n">
        <v>355</v>
      </c>
      <c r="AN177" s="88" t="n">
        <v>25</v>
      </c>
      <c r="AO177" s="88" t="n">
        <v>10</v>
      </c>
      <c r="AP177" s="97" t="n">
        <v>1.171497584541063</v>
      </c>
      <c r="AQ177" s="92" t="n">
        <v>0.608009708737864</v>
      </c>
      <c r="AR177" s="98" t="inlineStr">
        <is>
          <t>N</t>
        </is>
      </c>
      <c r="AS177" s="98" t="inlineStr">
        <is>
          <t>none</t>
        </is>
      </c>
      <c r="AT177" s="104" t="n"/>
      <c r="AU177" s="99" t="n">
        <v>26.99</v>
      </c>
      <c r="AV177" s="98" t="inlineStr">
        <is>
          <t>none</t>
        </is>
      </c>
      <c r="AW177" s="98" t="inlineStr">
        <is>
          <t>Y</t>
        </is>
      </c>
      <c r="AX177" s="98" t="inlineStr">
        <is>
          <t>2026-10-13 12:13:35</t>
        </is>
      </c>
      <c r="AY177" s="100" t="inlineStr">
        <is>
          <t>Prime Exclusive Discount</t>
        </is>
      </c>
      <c r="AZ177" s="100" t="inlineStr">
        <is>
          <t>11-01 to 12-01</t>
        </is>
      </c>
      <c r="BA177" s="101" t="n">
        <v>29.99</v>
      </c>
      <c r="BB177" s="101" t="n">
        <v>24.95</v>
      </c>
      <c r="BC177" s="90">
        <f>IF(AND(ISNUMBER(BA177),ISNUMBER(BB177),N(BA177)&gt;0),1-BB177/BA177,"")</f>
        <v/>
      </c>
      <c r="BD177" s="102" t="n">
        <v>19773</v>
      </c>
      <c r="BE177" s="102" t="n">
        <v>19113</v>
      </c>
      <c r="BF177" s="103">
        <f>IF(AND(ISNUMBER(BD177),ISNUMBER(BE177),N(BE177)&gt;0),BD177/BE177,"")</f>
        <v/>
      </c>
      <c r="BG177" s="100" t="inlineStr">
        <is>
          <t>N</t>
        </is>
      </c>
      <c r="BH177" s="100" t="inlineStr">
        <is>
          <t>Prime Exclusive already running before BFCM week; Buy Box RAISED in BFCM week (median $31.99 vs $29.99 before); List Price $48.99</t>
        </is>
      </c>
    </row>
    <row r="178" ht="62" customHeight="1">
      <c r="A178" s="10">
        <f>_xlfn.IMAGE("https://images-na.ssl-images-amazon.com/images/I/81zMSoUAMJL.jpg")</f>
        <v/>
      </c>
      <c r="B178" s="86" t="inlineStr">
        <is>
          <t>Bedsure</t>
        </is>
      </c>
      <c r="C178" s="32" t="inlineStr">
        <is>
          <t>Satin Sheets</t>
        </is>
      </c>
      <c r="D178" s="86" t="inlineStr">
        <is>
          <t>Poor</t>
        </is>
      </c>
      <c r="E178" s="87" t="inlineStr">
        <is>
          <t>B0DCZYNBYS</t>
        </is>
      </c>
      <c r="F178" s="87" t="inlineStr">
        <is>
          <t>B0CJ8RYNTS</t>
        </is>
      </c>
      <c r="G178" s="86" t="inlineStr">
        <is>
          <t>Queen</t>
        </is>
      </c>
      <c r="H178" s="86" t="inlineStr">
        <is>
          <t>02 - Black</t>
        </is>
      </c>
      <c r="I178" s="88" t="n">
        <v>32</v>
      </c>
      <c r="J178" s="32" t="inlineStr">
        <is>
          <t>B0CJ8SSQ6B (37%), B0CJ8RDYQ7 (17%), B0CJ8RYNTS (17%), B0CL4FSC1R (9%), B0CJ8SB44M (7%)</t>
        </is>
      </c>
      <c r="K178" s="89" t="n">
        <v>19.99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23 children</t>
        </is>
      </c>
      <c r="R178" s="88" t="n">
        <v>22342</v>
      </c>
      <c r="S178" s="88" t="n">
        <v>92</v>
      </c>
      <c r="T178" s="93">
        <f>IF(AND(ISNUMBER(K178),ISNUMBER(S178)),K178*S178*52/12,"")</f>
        <v/>
      </c>
      <c r="U178" s="94" t="n">
        <v>4.3</v>
      </c>
      <c r="V178" s="88" t="n">
        <v>2745</v>
      </c>
      <c r="W178" s="95" t="n">
        <v>46307</v>
      </c>
      <c r="X178" s="95" t="n"/>
      <c r="Y178" s="86" t="n"/>
      <c r="Z178" s="86" t="n"/>
      <c r="AA178" s="88" t="n">
        <v>89691</v>
      </c>
      <c r="AB178" s="88" t="n">
        <v>1094</v>
      </c>
      <c r="AC178" s="96" t="n">
        <v>0.6850140036347012</v>
      </c>
      <c r="AD178" s="96" t="n">
        <v>0.3149859963652986</v>
      </c>
      <c r="AE178" s="32" t="inlineStr">
        <is>
          <t>satin sheets</t>
        </is>
      </c>
      <c r="AF178" s="96" t="n">
        <v>0.7987311993399561</v>
      </c>
      <c r="AG178" s="96" t="n">
        <v>0.4455742493672721</v>
      </c>
      <c r="AH178" s="96" t="n"/>
      <c r="AI178" s="96" t="n">
        <v>0.011428125452944</v>
      </c>
      <c r="AJ178" s="88" t="n">
        <v>552</v>
      </c>
      <c r="AK178" s="88" t="n">
        <v>263</v>
      </c>
      <c r="AL178" s="88" t="n">
        <v>213</v>
      </c>
      <c r="AM178" s="88" t="n">
        <v>542</v>
      </c>
      <c r="AN178" s="88" t="n">
        <v>140</v>
      </c>
      <c r="AO178" s="88" t="n">
        <v>43</v>
      </c>
      <c r="AP178" s="97" t="n">
        <v>1.528846153846154</v>
      </c>
      <c r="AQ178" s="92" t="n">
        <v>0.1557377049180328</v>
      </c>
      <c r="AR178" s="98" t="inlineStr">
        <is>
          <t>N</t>
        </is>
      </c>
      <c r="AS178" s="98" t="inlineStr">
        <is>
          <t>none</t>
        </is>
      </c>
      <c r="AT178" s="104" t="n"/>
      <c r="AU178" s="99" t="n">
        <v>19.99</v>
      </c>
      <c r="AV178" s="98" t="inlineStr">
        <is>
          <t>none</t>
        </is>
      </c>
      <c r="AW178" s="98" t="inlineStr">
        <is>
          <t>Y</t>
        </is>
      </c>
      <c r="AX178" s="98" t="inlineStr">
        <is>
          <t>2026-10-13 12:12:37</t>
        </is>
      </c>
      <c r="AY178" s="100" t="inlineStr">
        <is>
          <t>Prime Exclusive Discount</t>
        </is>
      </c>
      <c r="AZ178" s="100" t="inlineStr">
        <is>
          <t>11-08 to 12-04</t>
        </is>
      </c>
      <c r="BA178" s="101" t="n">
        <v>22.39</v>
      </c>
      <c r="BB178" s="101" t="n">
        <v>20.99</v>
      </c>
      <c r="BC178" s="90">
        <f>IF(AND(ISNUMBER(BA178),ISNUMBER(BB178),N(BA178)&gt;0),1-BB178/BA178,"")</f>
        <v/>
      </c>
      <c r="BD178" s="102" t="n">
        <v>4549</v>
      </c>
      <c r="BE178" s="102" t="n">
        <v>5323</v>
      </c>
      <c r="BF178" s="103">
        <f>IF(AND(ISNUMBER(BD178),ISNUMBER(BE178),N(BE178)&gt;0),BD178/BE178,"")</f>
        <v/>
      </c>
      <c r="BG178" s="100" t="inlineStr">
        <is>
          <t>N</t>
        </is>
      </c>
      <c r="BH178" s="100" t="inlineStr">
        <is>
          <t>Prime Exclusive already running before BFCM week; Buy Box RAISED in BFCM week (median $28.99 vs $24.99 before); List Price $44.99</t>
        </is>
      </c>
    </row>
    <row r="179" ht="62" customHeight="1">
      <c r="A179" s="10">
        <f>_xlfn.IMAGE("https://images-na.ssl-images-amazon.com/images/I/71r48b+Sh9L.jpg")</f>
        <v/>
      </c>
      <c r="B179" s="86" t="inlineStr">
        <is>
          <t>GOLAL</t>
        </is>
      </c>
      <c r="C179" s="32" t="inlineStr">
        <is>
          <t>GOLAL Satin Sheets Full Size - 4 Pieces Luxury Silky Soft Bed Sheets, Wrinkle-Free Black Satin Silk Sheet Set with 1 Deep Pocket Fitted Sheet, 1 Flat Sheet, 2 Pillow Cases</t>
        </is>
      </c>
      <c r="D179" s="86" t="inlineStr">
        <is>
          <t>Poor</t>
        </is>
      </c>
      <c r="E179" s="87" t="inlineStr">
        <is>
          <t>B0B1Q2JG5X</t>
        </is>
      </c>
      <c r="F179" s="87" t="inlineStr">
        <is>
          <t>B09G17SQXF</t>
        </is>
      </c>
      <c r="G179" s="86" t="inlineStr">
        <is>
          <t>Full</t>
        </is>
      </c>
      <c r="H179" s="86" t="inlineStr">
        <is>
          <t>Black</t>
        </is>
      </c>
      <c r="I179" s="88" t="n">
        <v>94</v>
      </c>
      <c r="J179" s="32" t="inlineStr">
        <is>
          <t>B09G17XZC5 (35%), B09G17SQXF (27%), B09G18ZJ9S (10%), B09G18GFJL (10%)</t>
        </is>
      </c>
      <c r="K179" s="89" t="n">
        <v>21.99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27 children</t>
        </is>
      </c>
      <c r="R179" s="88" t="n">
        <v>132024</v>
      </c>
      <c r="S179" s="88" t="n">
        <v>81</v>
      </c>
      <c r="T179" s="93">
        <f>IF(AND(ISNUMBER(K179),ISNUMBER(S179)),K179*S179*52/12,"")</f>
        <v/>
      </c>
      <c r="U179" s="94" t="n">
        <v>4.4</v>
      </c>
      <c r="V179" s="88" t="n">
        <v>3943</v>
      </c>
      <c r="W179" s="95" t="n">
        <v>46307</v>
      </c>
      <c r="X179" s="95" t="n">
        <v>44451</v>
      </c>
      <c r="Y179" s="86" t="inlineStr">
        <is>
          <t>FBA</t>
        </is>
      </c>
      <c r="Z179" s="86" t="inlineStr">
        <is>
          <t>CN</t>
        </is>
      </c>
      <c r="AA179" s="88" t="n">
        <v>48561</v>
      </c>
      <c r="AB179" s="88" t="n">
        <v>615</v>
      </c>
      <c r="AC179" s="96" t="n">
        <v>0.6641788183933609</v>
      </c>
      <c r="AD179" s="96" t="n">
        <v>0.3358211816066392</v>
      </c>
      <c r="AE179" s="32" t="inlineStr">
        <is>
          <t>satin sheets queen size</t>
        </is>
      </c>
      <c r="AF179" s="96" t="n">
        <v>0.6905747410473425</v>
      </c>
      <c r="AG179" s="96" t="n">
        <v>0.432960606247812</v>
      </c>
      <c r="AH179" s="96" t="n"/>
      <c r="AI179" s="96" t="n">
        <v>0.005930685117687033</v>
      </c>
      <c r="AJ179" s="88" t="n">
        <v>394</v>
      </c>
      <c r="AK179" s="88" t="n">
        <v>236</v>
      </c>
      <c r="AL179" s="88" t="n">
        <v>121</v>
      </c>
      <c r="AM179" s="88" t="n">
        <v>221</v>
      </c>
      <c r="AN179" s="88" t="n">
        <v>21</v>
      </c>
      <c r="AO179" s="88" t="n">
        <v>37</v>
      </c>
      <c r="AP179" s="97" t="n">
        <v>0.8779220779220779</v>
      </c>
      <c r="AQ179" s="92" t="n">
        <v>0.803921568627451</v>
      </c>
      <c r="AR179" s="98" t="inlineStr">
        <is>
          <t>N</t>
        </is>
      </c>
      <c r="AS179" s="98" t="inlineStr">
        <is>
          <t>none</t>
        </is>
      </c>
      <c r="AT179" s="104" t="n"/>
      <c r="AU179" s="99" t="n">
        <v>21.99</v>
      </c>
      <c r="AV179" s="98" t="inlineStr">
        <is>
          <t>none</t>
        </is>
      </c>
      <c r="AW179" s="98" t="inlineStr">
        <is>
          <t>Y</t>
        </is>
      </c>
      <c r="AX179" s="98" t="inlineStr">
        <is>
          <t>2026-10-13 12:12:50</t>
        </is>
      </c>
      <c r="AY179" s="100" t="inlineStr">
        <is>
          <t>Prime Exclusive Discount</t>
        </is>
      </c>
      <c r="AZ179" s="100" t="inlineStr">
        <is>
          <t>11-27 to 11-27</t>
        </is>
      </c>
      <c r="BA179" s="101" t="n">
        <v>16.05</v>
      </c>
      <c r="BB179" s="101" t="n">
        <v>17.59</v>
      </c>
      <c r="BC179" s="90">
        <f>IF(AND(ISNUMBER(BA179),ISNUMBER(BB179),N(BA179)&gt;0),1-BB179/BA179,"")</f>
        <v/>
      </c>
      <c r="BD179" s="102" t="n">
        <v>5577</v>
      </c>
      <c r="BE179" s="102" t="n">
        <v>12758</v>
      </c>
      <c r="BF179" s="103">
        <f>IF(AND(ISNUMBER(BD179),ISNUMBER(BE179),N(BE179)&gt;0),BD179/BE179,"")</f>
        <v/>
      </c>
      <c r="BG179" s="100" t="inlineStr">
        <is>
          <t>N</t>
        </is>
      </c>
      <c r="BH179" s="100" t="inlineStr">
        <is>
          <t>Coupon 10%, 5% (11-01 to 12-05); Buy Box RAISED in BFCM week (median $21.99 vs $16.05 before); List Price $24.99</t>
        </is>
      </c>
    </row>
    <row r="180" ht="62" customHeight="1">
      <c r="A180" s="10">
        <f>_xlfn.IMAGE("https://m.media-amazon.com/images/I/71HVTciZ9oL._AC_SL1500_.jpg")</f>
        <v/>
      </c>
      <c r="B180" s="86" t="inlineStr">
        <is>
          <t>Vonty</t>
        </is>
      </c>
      <c r="C180" s="32" t="inlineStr">
        <is>
          <t>Satin Sheets</t>
        </is>
      </c>
      <c r="D180" s="86" t="inlineStr">
        <is>
          <t>Poor</t>
        </is>
      </c>
      <c r="E180" s="87" t="inlineStr">
        <is>
          <t>B0BDDJM9RW</t>
        </is>
      </c>
      <c r="F180" s="87" t="inlineStr">
        <is>
          <t>B0BDDGJ38X</t>
        </is>
      </c>
      <c r="G180" s="86" t="inlineStr">
        <is>
          <t>King - Extra Deep Pocket</t>
        </is>
      </c>
      <c r="H180" s="86" t="inlineStr">
        <is>
          <t>Black</t>
        </is>
      </c>
      <c r="I180" s="88" t="n">
        <v>22</v>
      </c>
      <c r="J180" s="32" t="inlineStr">
        <is>
          <t>B0BDDGJ38X (81%)</t>
        </is>
      </c>
      <c r="K180" s="89" t="n">
        <v>30.99</v>
      </c>
      <c r="L180" s="89" t="n"/>
      <c r="M180" s="90">
        <f>IF(AND(ISNUMBER(L180),ISNUMBER(K180),N(K180)&gt;0),L180/K180-1,"")</f>
        <v/>
      </c>
      <c r="N180" s="91">
        <f>IF(M180="","No List Price",IF(M180&lt;=0,"At/below price",IF(M180&lt;=0.12,"&lt;=12% STR zone",IF(M180&lt;=0.25,"12-25%","&gt;25% over"))))</f>
        <v/>
      </c>
      <c r="O180" s="89" t="n">
        <v>32.03724980901451</v>
      </c>
      <c r="P180" s="92">
        <f>IF(AND(ISNUMBER(K180),ISNUMBER(O180),N(O180)&gt;0),K180/O180-1,"")</f>
        <v/>
      </c>
      <c r="Q180" s="32" t="inlineStr">
        <is>
          <t>vs our blended price (Command Center, Mar 2026 - STALE)</t>
        </is>
      </c>
      <c r="R180" s="88" t="n">
        <v>83620</v>
      </c>
      <c r="S180" s="88" t="n">
        <v>35</v>
      </c>
      <c r="T180" s="93">
        <f>IF(AND(ISNUMBER(K180),ISNUMBER(S180)),K180*S180*52/12,"")</f>
        <v/>
      </c>
      <c r="U180" s="94" t="n">
        <v>4.2</v>
      </c>
      <c r="V180" s="88" t="n">
        <v>909</v>
      </c>
      <c r="W180" s="95" t="n">
        <v>46307</v>
      </c>
      <c r="X180" s="95" t="n"/>
      <c r="Y180" s="86" t="n"/>
      <c r="Z180" s="86" t="n"/>
      <c r="AA180" s="88" t="n">
        <v>11441</v>
      </c>
      <c r="AB180" s="88" t="n">
        <v>382</v>
      </c>
      <c r="AC180" s="96" t="n">
        <v>0.9484301110042829</v>
      </c>
      <c r="AD180" s="96" t="n">
        <v>0.05156988899571716</v>
      </c>
      <c r="AE180" s="32" t="inlineStr">
        <is>
          <t>silk sheets</t>
        </is>
      </c>
      <c r="AF180" s="96" t="n">
        <v>0.06502928065728521</v>
      </c>
      <c r="AG180" s="96" t="n"/>
      <c r="AH180" s="96" t="n"/>
      <c r="AI180" s="96" t="n"/>
      <c r="AJ180" s="88" t="n">
        <v>236</v>
      </c>
      <c r="AK180" s="88" t="n">
        <v>180</v>
      </c>
      <c r="AL180" s="88" t="n">
        <v>38</v>
      </c>
      <c r="AM180" s="88" t="n">
        <v>146</v>
      </c>
      <c r="AN180" s="88" t="n">
        <v>13</v>
      </c>
      <c r="AO180" s="88" t="n">
        <v>1</v>
      </c>
      <c r="AP180" s="97" t="n">
        <v>0.9861111111111112</v>
      </c>
      <c r="AQ180" s="92" t="n">
        <v>0.4680851063829787</v>
      </c>
      <c r="AR180" s="98" t="inlineStr">
        <is>
          <t>N</t>
        </is>
      </c>
      <c r="AS180" s="98" t="inlineStr">
        <is>
          <t>none</t>
        </is>
      </c>
      <c r="AT180" s="104" t="n"/>
      <c r="AU180" s="99" t="n">
        <v>30.99</v>
      </c>
      <c r="AV180" s="98" t="inlineStr">
        <is>
          <t>none</t>
        </is>
      </c>
      <c r="AW180" s="98" t="inlineStr">
        <is>
          <t>Y</t>
        </is>
      </c>
      <c r="AX180" s="98" t="inlineStr">
        <is>
          <t>2026-10-13 23:44:43</t>
        </is>
      </c>
      <c r="AY180" s="100" t="inlineStr">
        <is>
          <t>Prime Exclusive Discount</t>
        </is>
      </c>
      <c r="AZ180" s="100" t="inlineStr">
        <is>
          <t>11-21 to 12-01</t>
        </is>
      </c>
      <c r="BA180" s="101" t="n">
        <v>30.99</v>
      </c>
      <c r="BB180" s="101" t="n">
        <v>25.79</v>
      </c>
      <c r="BC180" s="90">
        <f>IF(AND(ISNUMBER(BA180),ISNUMBER(BB180),N(BA180)&gt;0),1-BB180/BA180,"")</f>
        <v/>
      </c>
      <c r="BD180" s="102" t="n">
        <v>88328</v>
      </c>
      <c r="BE180" s="102" t="n">
        <v>82798</v>
      </c>
      <c r="BF180" s="103">
        <f>IF(AND(ISNUMBER(BD180),ISNUMBER(BE180),N(BE180)&gt;0),BD180/BE180,"")</f>
        <v/>
      </c>
      <c r="BG180" s="100" t="inlineStr">
        <is>
          <t>N</t>
        </is>
      </c>
      <c r="BH180" s="100" t="inlineStr">
        <is>
          <t>Buy Box RAISED in BFCM week (median $42.99 vs $30.99 before); List Price $49.99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29.95</v>
      </c>
      <c r="P181" s="92">
        <f>IF(AND(ISNUMBER(K181),ISNUMBER(O181),N(O181)&gt;0),K181/O181-1,"")</f>
        <v/>
      </c>
      <c r="Q181" s="32" t="inlineStr">
        <is>
          <t>Same size (Full). Ours live: Helium 10 Xray, 2026-10-13; 27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249</v>
      </c>
      <c r="AK181" s="88" t="n">
        <v>189</v>
      </c>
      <c r="AL181" s="88" t="n">
        <v>41</v>
      </c>
      <c r="AM181" s="88" t="n">
        <v>108</v>
      </c>
      <c r="AN181" s="88" t="n">
        <v>46</v>
      </c>
      <c r="AO181" s="88" t="n">
        <v>30</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_xlfn.IMAGE("https://images-na.ssl-images-amazon.com/images/I/81HS7e6wrTL.jpg")</f>
        <v/>
      </c>
      <c r="B182" s="86" t="inlineStr">
        <is>
          <t>Madison Park</t>
        </is>
      </c>
      <c r="C182" s="32" t="inlineStr">
        <is>
          <t>Satin Sheets</t>
        </is>
      </c>
      <c r="D182" s="86" t="inlineStr">
        <is>
          <t>Poor</t>
        </is>
      </c>
      <c r="E182" s="87" t="inlineStr">
        <is>
          <t>B0DJ2HJ9M4</t>
        </is>
      </c>
      <c r="F182" s="87" t="inlineStr">
        <is>
          <t>B09HVCPNLX</t>
        </is>
      </c>
      <c r="G182" s="86" t="inlineStr">
        <is>
          <t>Queen</t>
        </is>
      </c>
      <c r="H182" s="86" t="inlineStr">
        <is>
          <t>Ivory</t>
        </is>
      </c>
      <c r="I182" s="88" t="n">
        <v>44</v>
      </c>
      <c r="J182" s="32" t="inlineStr">
        <is>
          <t>B0C5CG12M2 (27%), B09HVCPNLX (24%), B0C25NTWCM (18%), B09HVDQ982 (9%), B0DDQ6PNMP (7%)</t>
        </is>
      </c>
      <c r="K182" s="89" t="n">
        <v>26.99</v>
      </c>
      <c r="L182" s="89" t="n"/>
      <c r="M182" s="90">
        <f>IF(AND(ISNUMBER(L182),ISNUMBER(K182),N(K182)&gt;0),L182/K182-1,"")</f>
        <v/>
      </c>
      <c r="N182" s="91">
        <f>IF(M182="","No List Price",IF(M182&lt;=0,"At/below price",IF(M182&lt;=0.12,"&lt;=12% STR zone",IF(M182&lt;=0.25,"12-25%","&gt;25% over"))))</f>
        <v/>
      </c>
      <c r="O182" s="89" t="n">
        <v>31.95</v>
      </c>
      <c r="P182" s="92">
        <f>IF(AND(ISNUMBER(K182),ISNUMBER(O182),N(O182)&gt;0),K182/O182-1,"")</f>
        <v/>
      </c>
      <c r="Q182" s="32" t="inlineStr">
        <is>
          <t>Same size (Queen). Ours live: Helium 10 Xray, 2026-10-13; 23 children</t>
        </is>
      </c>
      <c r="R182" s="88" t="n">
        <v>76753</v>
      </c>
      <c r="S182" s="88" t="n">
        <v>18</v>
      </c>
      <c r="T182" s="93">
        <f>IF(AND(ISNUMBER(K182),ISNUMBER(S182)),K182*S182*52/12,"")</f>
        <v/>
      </c>
      <c r="U182" s="94" t="n">
        <v>4.5</v>
      </c>
      <c r="V182" s="88" t="n">
        <v>127</v>
      </c>
      <c r="W182" s="95" t="n">
        <v>46307</v>
      </c>
      <c r="X182" s="95" t="n"/>
      <c r="Y182" s="86" t="n"/>
      <c r="Z182" s="86" t="n"/>
      <c r="AA182" s="88" t="n">
        <v>35631</v>
      </c>
      <c r="AB182" s="88" t="n">
        <v>592</v>
      </c>
      <c r="AC182" s="96" t="n">
        <v>0.9497345738261626</v>
      </c>
      <c r="AD182" s="96" t="n">
        <v>0.05026542617383739</v>
      </c>
      <c r="AE182" s="32" t="inlineStr">
        <is>
          <t>satin sheets</t>
        </is>
      </c>
      <c r="AF182" s="96" t="n">
        <v>0.305408211950268</v>
      </c>
      <c r="AG182" s="96" t="n"/>
      <c r="AH182" s="96" t="n"/>
      <c r="AI182" s="96" t="n">
        <v>0</v>
      </c>
      <c r="AJ182" s="88" t="n">
        <v>308</v>
      </c>
      <c r="AK182" s="88" t="n">
        <v>188</v>
      </c>
      <c r="AL182" s="88" t="n">
        <v>84</v>
      </c>
      <c r="AM182" s="88" t="n">
        <v>284</v>
      </c>
      <c r="AN182" s="88" t="n">
        <v>13</v>
      </c>
      <c r="AO182" s="88" t="n">
        <v>7</v>
      </c>
      <c r="AP182" s="97" t="n">
        <v>0.6901408450704226</v>
      </c>
      <c r="AQ182" s="92" t="n">
        <v>0.1848341232227488</v>
      </c>
      <c r="AR182" s="98" t="inlineStr">
        <is>
          <t>N</t>
        </is>
      </c>
      <c r="AS182" s="98" t="inlineStr">
        <is>
          <t>none</t>
        </is>
      </c>
      <c r="AT182" s="104" t="n"/>
      <c r="AU182" s="99" t="n">
        <v>26.99</v>
      </c>
      <c r="AV182" s="98" t="inlineStr">
        <is>
          <t>none</t>
        </is>
      </c>
      <c r="AW182" s="98" t="inlineStr">
        <is>
          <t>Y</t>
        </is>
      </c>
      <c r="AX182" s="98" t="inlineStr">
        <is>
          <t>2026-10-13 12:13:26</t>
        </is>
      </c>
      <c r="AY182" s="100" t="inlineStr">
        <is>
          <t>None</t>
        </is>
      </c>
      <c r="AZ182" s="105" t="n"/>
      <c r="BA182" s="101" t="n">
        <v>30.99</v>
      </c>
      <c r="BB182" s="101" t="n">
        <v>30.99</v>
      </c>
      <c r="BC182" s="90">
        <f>IF(AND(ISNUMBER(BA182),ISNUMBER(BB182),N(BA182)&gt;0),1-BB182/BA182,"")</f>
        <v/>
      </c>
      <c r="BD182" s="102" t="n">
        <v>38276</v>
      </c>
      <c r="BE182" s="102" t="n">
        <v>39554</v>
      </c>
      <c r="BF182" s="103">
        <f>IF(AND(ISNUMBER(BD182),ISNUMBER(BE182),N(BE182)&gt;0),BD182/BE182,"")</f>
        <v/>
      </c>
      <c r="BG182" s="100" t="inlineStr">
        <is>
          <t>N</t>
        </is>
      </c>
      <c r="BH182" s="100" t="inlineStr">
        <is>
          <t>List Price $35.99</t>
        </is>
      </c>
    </row>
    <row r="183" ht="62" customHeight="1">
      <c r="A183" s="10">
        <f>_xlfn.IMAGE("https://m.media-amazon.com/images/I/71ImrNlbFKL._AC_SL1500_.jpg")</f>
        <v/>
      </c>
      <c r="B183" s="86" t="inlineStr">
        <is>
          <t>MK Home</t>
        </is>
      </c>
      <c r="C183" s="32" t="inlineStr">
        <is>
          <t>Satin Sheets</t>
        </is>
      </c>
      <c r="D183" s="86" t="inlineStr">
        <is>
          <t>Poor</t>
        </is>
      </c>
      <c r="E183" s="87" t="inlineStr">
        <is>
          <t>B07H522QXD</t>
        </is>
      </c>
      <c r="F183" s="87" t="inlineStr">
        <is>
          <t>B07FGFRZ94</t>
        </is>
      </c>
      <c r="G183" s="86" t="inlineStr">
        <is>
          <t>Queen</t>
        </is>
      </c>
      <c r="H183" s="86" t="inlineStr">
        <is>
          <t>Red</t>
        </is>
      </c>
      <c r="I183" s="88" t="n"/>
      <c r="J183" s="32" t="inlineStr"/>
      <c r="K183" s="89" t="n">
        <v>18.99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23 children</t>
        </is>
      </c>
      <c r="R183" s="88" t="n">
        <v>59039</v>
      </c>
      <c r="S183" s="88" t="n">
        <v>18</v>
      </c>
      <c r="T183" s="93">
        <f>IF(AND(ISNUMBER(K183),ISNUMBER(S183)),K183*S183*52/12,"")</f>
        <v/>
      </c>
      <c r="U183" s="94" t="n">
        <v>4.3</v>
      </c>
      <c r="V183" s="88" t="n">
        <v>10761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N</t>
        </is>
      </c>
      <c r="AS183" s="98" t="inlineStr">
        <is>
          <t>none</t>
        </is>
      </c>
      <c r="AT183" s="104" t="n"/>
      <c r="AU183" s="99" t="n">
        <v>18.99</v>
      </c>
      <c r="AV183" s="98" t="inlineStr">
        <is>
          <t>none</t>
        </is>
      </c>
      <c r="AW183" s="98" t="inlineStr">
        <is>
          <t>Y</t>
        </is>
      </c>
      <c r="AX183" s="98" t="inlineStr">
        <is>
          <t>2026-10-13 12:13:19</t>
        </is>
      </c>
      <c r="AY183" s="100" t="inlineStr">
        <is>
          <t>None</t>
        </is>
      </c>
      <c r="AZ183" s="105" t="n"/>
      <c r="BA183" s="101" t="n">
        <v>28.99</v>
      </c>
      <c r="BB183" s="101" t="n">
        <v>28.99</v>
      </c>
      <c r="BC183" s="90">
        <f>IF(AND(ISNUMBER(BA183),ISNUMBER(BB183),N(BA183)&gt;0),1-BB183/BA183,"")</f>
        <v/>
      </c>
      <c r="BD183" s="102" t="n">
        <v>72573</v>
      </c>
      <c r="BE183" s="102" t="n">
        <v>103377</v>
      </c>
      <c r="BF183" s="103">
        <f>IF(AND(ISNUMBER(BD183),ISNUMBER(BE183),N(BE183)&gt;0),BD183/BE183,"")</f>
        <v/>
      </c>
      <c r="BG183" s="100" t="inlineStr">
        <is>
          <t>N</t>
        </is>
      </c>
      <c r="BH183" s="100" t="inlineStr">
        <is>
          <t>List Price $59.99</t>
        </is>
      </c>
    </row>
    <row r="184" ht="62" customHeight="1">
      <c r="A184" s="10">
        <f>_xlfn.IMAGE("https://images-na.ssl-images-amazon.com/images/I/81M3kmoCTLL.jpg")</f>
        <v/>
      </c>
      <c r="B184" s="86" t="inlineStr">
        <is>
          <t>Juicy Couture</t>
        </is>
      </c>
      <c r="C184" s="32" t="inlineStr">
        <is>
          <t>Juicy Couture Queen Size Satin Bed Sheet Set, Deep Pocket Silky Satin Queen Shee</t>
        </is>
      </c>
      <c r="D184" s="86" t="inlineStr">
        <is>
          <t>Poor</t>
        </is>
      </c>
      <c r="E184" s="87" t="inlineStr">
        <is>
          <t>B0FB47M9WR</t>
        </is>
      </c>
      <c r="F184" s="87" t="inlineStr">
        <is>
          <t>B0BK1WH383</t>
        </is>
      </c>
      <c r="G184" s="86" t="inlineStr">
        <is>
          <t>Standard Pillowcases - 2 Piece Set</t>
        </is>
      </c>
      <c r="H184" s="86" t="inlineStr">
        <is>
          <t>Pink</t>
        </is>
      </c>
      <c r="I184" s="88" t="n">
        <v>58</v>
      </c>
      <c r="J184" s="32" t="inlineStr">
        <is>
          <t>B09NP86NP2 (22%), B0DKYVPBLR (21%), B0BK1WRYR5 (11%), B09NP9WVDR (11%), B0F3KT7FWM (8%)</t>
        </is>
      </c>
      <c r="K184" s="89" t="n">
        <v>5.93</v>
      </c>
      <c r="L184" s="89" t="n"/>
      <c r="M184" s="90">
        <f>IF(AND(ISNUMBER(L184),ISNUMBER(K184),N(K184)&gt;0),L184/K184-1,"")</f>
        <v/>
      </c>
      <c r="N184" s="91">
        <f>IF(M184="","No List Price",IF(M184&lt;=0,"At/below price",IF(M184&lt;=0.12,"&lt;=12% STR zone",IF(M184&lt;=0.25,"12-25%","&gt;25% over"))))</f>
        <v/>
      </c>
      <c r="O184" s="89" t="n">
        <v>32.03724980901451</v>
      </c>
      <c r="P184" s="92">
        <f>IF(AND(ISNUMBER(K184),ISNUMBER(O184),N(O184)&gt;0),K184/O184-1,"")</f>
        <v/>
      </c>
      <c r="Q184" s="32" t="inlineStr">
        <is>
          <t>vs our blended price (Command Center, Mar 2026 - STALE)</t>
        </is>
      </c>
      <c r="R184" s="88" t="n">
        <v>80060</v>
      </c>
      <c r="S184" s="88" t="n">
        <v>5</v>
      </c>
      <c r="T184" s="93">
        <f>IF(AND(ISNUMBER(K184),ISNUMBER(S184)),K184*S184*52/12,"")</f>
        <v/>
      </c>
      <c r="U184" s="94" t="n">
        <v>4.6</v>
      </c>
      <c r="V184" s="88" t="n">
        <v>46</v>
      </c>
      <c r="W184" s="95" t="n">
        <v>46307</v>
      </c>
      <c r="X184" s="95" t="n"/>
      <c r="Y184" s="86" t="n"/>
      <c r="Z184" s="86" t="n"/>
      <c r="AA184" s="88" t="n">
        <v>41904</v>
      </c>
      <c r="AB184" s="88" t="n">
        <v>827</v>
      </c>
      <c r="AC184" s="96" t="n">
        <v>0.8273237471363115</v>
      </c>
      <c r="AD184" s="96" t="n">
        <v>0.1726766346888126</v>
      </c>
      <c r="AE184" s="32" t="inlineStr">
        <is>
          <t>juicy couture</t>
        </is>
      </c>
      <c r="AF184" s="96" t="n">
        <v>0.1212533409698358</v>
      </c>
      <c r="AG184" s="96" t="n">
        <v>0.1026870943108057</v>
      </c>
      <c r="AH184" s="96" t="n">
        <v>0.5394234440626193</v>
      </c>
      <c r="AI184" s="96" t="n">
        <v>0.09507445589919816</v>
      </c>
      <c r="AJ184" s="88" t="n">
        <v>368</v>
      </c>
      <c r="AK184" s="88" t="n">
        <v>225</v>
      </c>
      <c r="AL184" s="88" t="n">
        <v>113</v>
      </c>
      <c r="AM184" s="88" t="n">
        <v>459</v>
      </c>
      <c r="AN184" s="88" t="n">
        <v>124</v>
      </c>
      <c r="AO184" s="88" t="n">
        <v>17</v>
      </c>
      <c r="AP184" s="97" t="n"/>
      <c r="AQ184" s="92" t="n"/>
      <c r="AR184" s="98" t="inlineStr">
        <is>
          <t>N</t>
        </is>
      </c>
      <c r="AS184" s="98" t="inlineStr">
        <is>
          <t>none</t>
        </is>
      </c>
      <c r="AT184" s="104" t="n"/>
      <c r="AU184" s="104" t="n"/>
      <c r="AV184" s="98" t="inlineStr">
        <is>
          <t>none</t>
        </is>
      </c>
      <c r="AW184" s="98" t="inlineStr">
        <is>
          <t>N</t>
        </is>
      </c>
      <c r="AX184" s="98" t="inlineStr">
        <is>
          <t>2026-10-13 12:12:23</t>
        </is>
      </c>
      <c r="AY184" s="105" t="n"/>
      <c r="AZ184" s="105" t="n"/>
      <c r="BA184" s="104" t="n"/>
      <c r="BB184" s="104" t="n"/>
      <c r="BC184" s="90">
        <f>IF(AND(ISNUMBER(BA184),ISNUMBER(BB184),N(BA184)&gt;0),1-BB184/BA184,"")</f>
        <v/>
      </c>
      <c r="BD184" s="102" t="n">
        <v>54981</v>
      </c>
      <c r="BE184" s="102" t="n">
        <v>50922</v>
      </c>
      <c r="BF184" s="103">
        <f>IF(AND(ISNUMBER(BD184),ISNUMBER(BE184),N(BE184)&gt;0),BD184/BE184,"")</f>
        <v/>
      </c>
      <c r="BG184" s="100" t="inlineStr">
        <is>
          <t>Y</t>
        </is>
      </c>
      <c r="BH184" s="100" t="inlineStr">
        <is>
          <t>No Buy Box history in Keepa for BFCM 2025; List Price $19.99</t>
        </is>
      </c>
    </row>
    <row r="185" ht="62" customHeight="1">
      <c r="A185" s="10">
        <f>_xlfn.IMAGE("https://images-na.ssl-images-amazon.com/images/I/71MADUOjsFL.jpg")</f>
        <v/>
      </c>
      <c r="B185" s="86" t="inlineStr">
        <is>
          <t>Sasttie</t>
        </is>
      </c>
      <c r="C185" s="32" t="inlineStr">
        <is>
          <t>Sasttie Satin Sheets Queen Size - 4 Pieces Luxury Soft Black Silky Bed Sheets Set with Pillowcases - Smooth Silk-Like Satin Fabric, Reinforced 14 Inches Pocket, Oeko-Tex Certified</t>
        </is>
      </c>
      <c r="D185" s="86" t="inlineStr">
        <is>
          <t>Untiered</t>
        </is>
      </c>
      <c r="E185" s="87" t="inlineStr">
        <is>
          <t>B0F2H9HX69</t>
        </is>
      </c>
      <c r="F185" s="87" t="inlineStr">
        <is>
          <t>B0F2H8LPB3</t>
        </is>
      </c>
      <c r="G185" s="86" t="inlineStr">
        <is>
          <t>Queen</t>
        </is>
      </c>
      <c r="H185" s="86" t="inlineStr">
        <is>
          <t>Black</t>
        </is>
      </c>
      <c r="I185" s="88" t="n">
        <v>47</v>
      </c>
      <c r="J185" s="32" t="inlineStr">
        <is>
          <t>B0F2H8LPB3 (57%), B0F2H92RZ5 (13%), B0F2H9HRJJ (11%)</t>
        </is>
      </c>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23 children</t>
        </is>
      </c>
      <c r="R185" s="88" t="n">
        <v>58723</v>
      </c>
      <c r="S185" s="88" t="n">
        <v>35</v>
      </c>
      <c r="T185" s="93">
        <f>IF(AND(ISNUMBER(K185),ISNUMBER(S185)),K185*S185*52/12,"")</f>
        <v/>
      </c>
      <c r="U185" s="94" t="n">
        <v>4.5</v>
      </c>
      <c r="V185" s="88" t="n">
        <v>968</v>
      </c>
      <c r="W185" s="95" t="n">
        <v>46307</v>
      </c>
      <c r="X185" s="95" t="n">
        <v>45742</v>
      </c>
      <c r="Y185" s="86" t="inlineStr">
        <is>
          <t>FBA</t>
        </is>
      </c>
      <c r="Z185" s="86" t="inlineStr">
        <is>
          <t>CN</t>
        </is>
      </c>
      <c r="AA185" s="88" t="n">
        <v>26952</v>
      </c>
      <c r="AB185" s="88" t="n">
        <v>504</v>
      </c>
      <c r="AC185" s="96" t="n">
        <v>0.9879767104482041</v>
      </c>
      <c r="AD185" s="96" t="n">
        <v>0.01202328955179578</v>
      </c>
      <c r="AE185" s="32" t="inlineStr">
        <is>
          <t>satin sheets</t>
        </is>
      </c>
      <c r="AF185" s="96" t="n"/>
      <c r="AG185" s="96" t="n">
        <v>0.004081329771445533</v>
      </c>
      <c r="AH185" s="96" t="n">
        <v>0.1173567824280202</v>
      </c>
      <c r="AI185" s="96" t="n"/>
      <c r="AJ185" s="88" t="n">
        <v>343</v>
      </c>
      <c r="AK185" s="88" t="n">
        <v>242</v>
      </c>
      <c r="AL185" s="88" t="n">
        <v>78</v>
      </c>
      <c r="AM185" s="88" t="n">
        <v>161</v>
      </c>
      <c r="AN185" s="88" t="n">
        <v>12</v>
      </c>
      <c r="AO185" s="88" t="n">
        <v>1</v>
      </c>
      <c r="AP185" s="97" t="n">
        <v>1.063356164383562</v>
      </c>
      <c r="AQ185" s="92" t="n">
        <v>-0.1631084543125534</v>
      </c>
      <c r="AR185" s="98" t="inlineStr">
        <is>
          <t>N</t>
        </is>
      </c>
      <c r="AS185" s="98" t="inlineStr">
        <is>
          <t>none</t>
        </is>
      </c>
      <c r="AT185" s="104" t="n"/>
      <c r="AU185" s="99" t="n">
        <v>15.99</v>
      </c>
      <c r="AV185" s="98" t="inlineStr">
        <is>
          <t>none</t>
        </is>
      </c>
      <c r="AW185" s="98" t="inlineStr">
        <is>
          <t>Y</t>
        </is>
      </c>
      <c r="AX185" s="98" t="inlineStr">
        <is>
          <t>2026-10-13 12:13:42</t>
        </is>
      </c>
      <c r="AY185" s="100" t="inlineStr">
        <is>
          <t>Prime Exclusive Discount</t>
        </is>
      </c>
      <c r="AZ185" s="100" t="inlineStr">
        <is>
          <t>11-08 to 12-05</t>
        </is>
      </c>
      <c r="BA185" s="101" t="n">
        <v>15.99</v>
      </c>
      <c r="BB185" s="101" t="n">
        <v>15.98</v>
      </c>
      <c r="BC185" s="90">
        <f>IF(AND(ISNUMBER(BA185),ISNUMBER(BB185),N(BA185)&gt;0),1-BB185/BA185,"")</f>
        <v/>
      </c>
      <c r="BD185" s="102" t="n">
        <v>71449</v>
      </c>
      <c r="BE185" s="102" t="n">
        <v>98796</v>
      </c>
      <c r="BF185" s="103">
        <f>IF(AND(ISNUMBER(BD185),ISNUMBER(BE185),N(BE185)&gt;0),BD185/BE185,"")</f>
        <v/>
      </c>
      <c r="BG185" s="100" t="inlineStr">
        <is>
          <t>N</t>
        </is>
      </c>
      <c r="BH185" s="100" t="inlineStr">
        <is>
          <t>Prime Exclusive already running before BFCM week; Buy Box RAISED in BFCM week (median $19.99 vs $16.99 before); List Price $19.98</t>
        </is>
      </c>
    </row>
    <row r="186" ht="62" customHeight="1">
      <c r="A186" s="10">
        <f>_xlfn.IMAGE("https://m.media-amazon.com/images/I/71PuS2XyTRL._AC_SL1500_.jpg")</f>
        <v/>
      </c>
      <c r="B186" s="86" t="inlineStr">
        <is>
          <t>Candoury</t>
        </is>
      </c>
      <c r="C186" s="32" t="inlineStr">
        <is>
          <t>Satin Sheets</t>
        </is>
      </c>
      <c r="D186" s="86" t="inlineStr">
        <is>
          <t>Untiered</t>
        </is>
      </c>
      <c r="E186" s="87" t="inlineStr">
        <is>
          <t>B08RHZ9TMQ</t>
        </is>
      </c>
      <c r="F186" s="87" t="inlineStr">
        <is>
          <t>B08JKWGXZ9</t>
        </is>
      </c>
      <c r="G186" s="86" t="inlineStr">
        <is>
          <t>Queen</t>
        </is>
      </c>
      <c r="H186" s="86" t="inlineStr">
        <is>
          <t>Black</t>
        </is>
      </c>
      <c r="I186" s="88" t="n"/>
      <c r="J186" s="32" t="inlineStr"/>
      <c r="K186" s="89" t="n">
        <v>15.99</v>
      </c>
      <c r="L186" s="89" t="n"/>
      <c r="M186" s="90">
        <f>IF(AND(ISNUMBER(L186),ISNUMBER(K186),N(K186)&gt;0),L186/K186-1,"")</f>
        <v/>
      </c>
      <c r="N186" s="91">
        <f>IF(M186="","No List Price",IF(M186&lt;=0,"At/below price",IF(M186&lt;=0.12,"&lt;=12% STR zone",IF(M186&lt;=0.25,"12-25%","&gt;25% over"))))</f>
        <v/>
      </c>
      <c r="O186" s="89" t="n">
        <v>31.95</v>
      </c>
      <c r="P186" s="92">
        <f>IF(AND(ISNUMBER(K186),ISNUMBER(O186),N(O186)&gt;0),K186/O186-1,"")</f>
        <v/>
      </c>
      <c r="Q186" s="32" t="inlineStr">
        <is>
          <t>Same size (Queen). Ours live: Helium 10 Xray, 2026-10-13; 23 children</t>
        </is>
      </c>
      <c r="R186" s="88" t="n">
        <v>420044</v>
      </c>
      <c r="S186" s="88" t="n">
        <v>5</v>
      </c>
      <c r="T186" s="93">
        <f>IF(AND(ISNUMBER(K186),ISNUMBER(S186)),K186*S186*52/12,"")</f>
        <v/>
      </c>
      <c r="U186" s="94" t="n">
        <v>4.3</v>
      </c>
      <c r="V186" s="88" t="n">
        <v>5277</v>
      </c>
      <c r="W186" s="95" t="n">
        <v>46279</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N</t>
        </is>
      </c>
      <c r="AS186" s="98" t="inlineStr">
        <is>
          <t>none</t>
        </is>
      </c>
      <c r="AT186" s="104" t="n"/>
      <c r="AU186" s="104" t="n"/>
      <c r="AV186" s="98" t="inlineStr">
        <is>
          <t>none</t>
        </is>
      </c>
      <c r="AW186" s="98" t="inlineStr">
        <is>
          <t>N</t>
        </is>
      </c>
      <c r="AX186" s="98" t="inlineStr">
        <is>
          <t>2026-10-13 23:44:25</t>
        </is>
      </c>
      <c r="AY186" s="105" t="n"/>
      <c r="AZ186" s="105" t="n"/>
      <c r="BA186" s="104" t="n"/>
      <c r="BB186" s="104" t="n"/>
      <c r="BC186" s="90">
        <f>IF(AND(ISNUMBER(BA186),ISNUMBER(BB186),N(BA186)&gt;0),1-BB186/BA186,"")</f>
        <v/>
      </c>
      <c r="BD186" s="102" t="n">
        <v>176647</v>
      </c>
      <c r="BE186" s="102" t="n">
        <v>231862</v>
      </c>
      <c r="BF186" s="103">
        <f>IF(AND(ISNUMBER(BD186),ISNUMBER(BE186),N(BE186)&gt;0),BD186/BE186,"")</f>
        <v/>
      </c>
      <c r="BG186" s="100" t="inlineStr">
        <is>
          <t>Y</t>
        </is>
      </c>
      <c r="BH186" s="100" t="inlineStr">
        <is>
          <t>No Buy Box history in Keepa for BFCM 2025; List Price $35.99</t>
        </is>
      </c>
    </row>
    <row r="188" ht="20" customHeight="1">
      <c r="A188" s="53" t="inlineStr">
        <is>
          <t>5 · WHAT THIS MEANS FOR BFCM</t>
        </is>
      </c>
    </row>
    <row r="189" ht="30" customHeight="1">
      <c r="A189" s="107" t="inlineStr">
        <is>
          <t>•  Who sells most: BEDELITE ~1,963/wk at $17.99; Love's cabin ~809/wk at $16.13 (List $19.99, +24%); MR&amp;HM ~809/wk at $19.99; CozyLux ~347/wk at $13.99 (List $18.99, +36%); Lanest Housing ~208/wk at $22.99. Tracked rivals ~4,991 units/wk; we sell ~655/wk (11.6% of the tracked set).</t>
        </is>
      </c>
    </row>
    <row r="190" ht="18" customHeight="1">
      <c r="A190" s="107" t="inlineStr">
        <is>
          <t>•  Strikethrough: 3 of 26 rivals set a List Price above price; 1 within 12%: Homiest +8%.</t>
        </is>
      </c>
    </row>
    <row r="191" ht="18" customHeight="1">
      <c r="A191" s="107" t="inlineStr">
        <is>
          <t>•  Price: 26 of 26 rivals sit below our price today (same size where the title states one). Cheapest strong rivals: CozyLux $13.99, Love's cabin $16.13, BEDELITE $17.99, MR&amp;HM $19.99.</t>
        </is>
      </c>
    </row>
    <row r="192" ht="30" customHeight="1">
      <c r="A192"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3" ht="30" customHeight="1">
      <c r="A193"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4" ht="30" customHeight="1">
      <c r="A194" s="107" t="inlineStr">
        <is>
          <t>•  Brand ads: Love's cabin (SB 61%, SBV 8%), CozyLux (SB 52%, SBV 0%), Lanest Housing (SB 92%, SBV 0%), P Pothuiny (SB 54%, SBV 0%), Juicy Couture (SB 10%, SBV 54%) hold Sponsored Brands / video on most of their traffic - the plan has our SB, SBV and display live by Nov 1.</t>
        </is>
      </c>
    </row>
    <row r="195" ht="18" customHeight="1">
      <c r="A195" s="107" t="inlineStr">
        <is>
          <t>•  Our BFCM 2025: 2.64x daily sales in BFCM week vs the 30 days before; TACoS 4.9% vs 10.4% before; December 1.93x.</t>
        </is>
      </c>
    </row>
    <row r="196" ht="18" customHeight="1">
      <c r="A196" s="107" t="inlineStr">
        <is>
          <t>•  Prime Day 2026: our organic visibility 1.24x vs rivals' median 0.99x (n=17) - we held or out-gained rivals.</t>
        </is>
      </c>
    </row>
    <row r="197" ht="30" customHeight="1">
      <c r="A197" s="107" t="inlineStr">
        <is>
          <t>•  BFCM 2025, 24 rivals with Keepa history: Prime Exclusive Discount 14, None 7, Price cut only 3.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60:BH186"/>
  <mergeCells count="77">
    <mergeCell ref="A1:BH1"/>
    <mergeCell ref="L8:Q8"/>
    <mergeCell ref="A13:D13"/>
    <mergeCell ref="L10:Q10"/>
    <mergeCell ref="Q13:T13"/>
    <mergeCell ref="A193:BH193"/>
    <mergeCell ref="A192:BH192"/>
    <mergeCell ref="A4:B9"/>
    <mergeCell ref="D5:I5"/>
    <mergeCell ref="A194:BH194"/>
    <mergeCell ref="A159:H159"/>
    <mergeCell ref="A147:BH147"/>
    <mergeCell ref="A138:C138"/>
    <mergeCell ref="A155:BH155"/>
    <mergeCell ref="D6:I6"/>
    <mergeCell ref="A148:BH148"/>
    <mergeCell ref="A157:BH157"/>
    <mergeCell ref="L5:Q5"/>
    <mergeCell ref="Q11:T11"/>
    <mergeCell ref="L4:Q4"/>
    <mergeCell ref="D7:I7"/>
    <mergeCell ref="I13:L13"/>
    <mergeCell ref="A196:BH196"/>
    <mergeCell ref="D4:I4"/>
    <mergeCell ref="AR159:AX159"/>
    <mergeCell ref="E12:H12"/>
    <mergeCell ref="Q12:T12"/>
    <mergeCell ref="A158:BH158"/>
    <mergeCell ref="A198:BH198"/>
    <mergeCell ref="A11:D11"/>
    <mergeCell ref="A3:BH3"/>
    <mergeCell ref="D8:I8"/>
    <mergeCell ref="A150:BH150"/>
    <mergeCell ref="A152:BH152"/>
    <mergeCell ref="M13:P13"/>
    <mergeCell ref="A146:C146"/>
    <mergeCell ref="X159:Z159"/>
    <mergeCell ref="A15:BH15"/>
    <mergeCell ref="AA159:AQ159"/>
    <mergeCell ref="A197:BH197"/>
    <mergeCell ref="A16:BH16"/>
    <mergeCell ref="A141:C141"/>
    <mergeCell ref="D9:I9"/>
    <mergeCell ref="A144:C144"/>
    <mergeCell ref="A149:BH149"/>
    <mergeCell ref="A189:BH189"/>
    <mergeCell ref="I11:L11"/>
    <mergeCell ref="L6:Q6"/>
    <mergeCell ref="AY159:BH159"/>
    <mergeCell ref="A151:BH151"/>
    <mergeCell ref="M11:P11"/>
    <mergeCell ref="A188:BH188"/>
    <mergeCell ref="E13:H13"/>
    <mergeCell ref="D10:I10"/>
    <mergeCell ref="L7:Q7"/>
    <mergeCell ref="A190:BH190"/>
    <mergeCell ref="K159:W159"/>
    <mergeCell ref="A12:D12"/>
    <mergeCell ref="U13:X13"/>
    <mergeCell ref="M12:P12"/>
    <mergeCell ref="A191:BH191"/>
    <mergeCell ref="A145:C145"/>
    <mergeCell ref="A139:C139"/>
    <mergeCell ref="A153:BH153"/>
    <mergeCell ref="A137:BH137"/>
    <mergeCell ref="L9:Q9"/>
    <mergeCell ref="A140:C140"/>
    <mergeCell ref="A154:BH154"/>
    <mergeCell ref="T6:Y6"/>
    <mergeCell ref="A195:BH195"/>
    <mergeCell ref="A143:C143"/>
    <mergeCell ref="U11:X11"/>
    <mergeCell ref="T5:Y5"/>
    <mergeCell ref="I12:L12"/>
    <mergeCell ref="T4:Y4"/>
    <mergeCell ref="U12:X12"/>
    <mergeCell ref="E11:H11"/>
  </mergeCells>
  <conditionalFormatting sqref="N161:N186">
    <cfRule type="expression" priority="1" dxfId="1">
      <formula>N161="&lt;=12% STR zone"</formula>
    </cfRule>
  </conditionalFormatting>
  <conditionalFormatting sqref="W161:W186">
    <cfRule type="expression" priority="2" dxfId="0">
      <formula>AND(ISNUMBER(W161),W161&lt;DATE(2026,10,6))</formula>
    </cfRule>
  </conditionalFormatting>
  <conditionalFormatting sqref="Q161:Q186">
    <cfRule type="expression" priority="3" dxfId="0">
      <formula>ISNUMBER(SEARCH("STALE",Q161))</formula>
    </cfRule>
  </conditionalFormatting>
  <conditionalFormatting sqref="P161:P186">
    <cfRule type="expression" priority="4" dxfId="0">
      <formula>AND(ISNUMBER(P161),P161&lt;0)</formula>
    </cfRule>
  </conditionalFormatting>
  <dataValidations count="3">
    <dataValidation sqref="AR161:AR186 BG161:BG186" showDropDown="0" showInputMessage="0" showErrorMessage="0" allowBlank="1" type="list">
      <formula1>"Y,N"</formula1>
    </dataValidation>
    <dataValidation sqref="AS161:AS186" showDropDown="0" showInputMessage="0" showErrorMessage="0" allowBlank="1" type="list">
      <formula1>"List Price,Typical price,Was price,None"</formula1>
    </dataValidation>
    <dataValidation sqref="AY161: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1" r:id="rId2"/>
    <hyperlink xmlns:r="http://schemas.openxmlformats.org/officeDocument/2006/relationships" ref="F161" r:id="rId3"/>
    <hyperlink xmlns:r="http://schemas.openxmlformats.org/officeDocument/2006/relationships" ref="E162" r:id="rId4"/>
    <hyperlink xmlns:r="http://schemas.openxmlformats.org/officeDocument/2006/relationships" ref="F162" r:id="rId5"/>
    <hyperlink xmlns:r="http://schemas.openxmlformats.org/officeDocument/2006/relationships" ref="E163" r:id="rId6"/>
    <hyperlink xmlns:r="http://schemas.openxmlformats.org/officeDocument/2006/relationships" ref="F163" r:id="rId7"/>
    <hyperlink xmlns:r="http://schemas.openxmlformats.org/officeDocument/2006/relationships" ref="E164" r:id="rId8"/>
    <hyperlink xmlns:r="http://schemas.openxmlformats.org/officeDocument/2006/relationships" ref="F164" r:id="rId9"/>
    <hyperlink xmlns:r="http://schemas.openxmlformats.org/officeDocument/2006/relationships" ref="E165" r:id="rId10"/>
    <hyperlink xmlns:r="http://schemas.openxmlformats.org/officeDocument/2006/relationships" ref="F165" r:id="rId11"/>
    <hyperlink xmlns:r="http://schemas.openxmlformats.org/officeDocument/2006/relationships" ref="E166" r:id="rId12"/>
    <hyperlink xmlns:r="http://schemas.openxmlformats.org/officeDocument/2006/relationships" ref="F166" r:id="rId13"/>
    <hyperlink xmlns:r="http://schemas.openxmlformats.org/officeDocument/2006/relationships" ref="E167" r:id="rId14"/>
    <hyperlink xmlns:r="http://schemas.openxmlformats.org/officeDocument/2006/relationships" ref="F167" r:id="rId15"/>
    <hyperlink xmlns:r="http://schemas.openxmlformats.org/officeDocument/2006/relationships" ref="E168" r:id="rId16"/>
    <hyperlink xmlns:r="http://schemas.openxmlformats.org/officeDocument/2006/relationships" ref="F168" r:id="rId17"/>
    <hyperlink xmlns:r="http://schemas.openxmlformats.org/officeDocument/2006/relationships" ref="E169" r:id="rId18"/>
    <hyperlink xmlns:r="http://schemas.openxmlformats.org/officeDocument/2006/relationships" ref="F169" r:id="rId19"/>
    <hyperlink xmlns:r="http://schemas.openxmlformats.org/officeDocument/2006/relationships" ref="E170" r:id="rId20"/>
    <hyperlink xmlns:r="http://schemas.openxmlformats.org/officeDocument/2006/relationships" ref="F170" r:id="rId21"/>
    <hyperlink xmlns:r="http://schemas.openxmlformats.org/officeDocument/2006/relationships" ref="E171" r:id="rId22"/>
    <hyperlink xmlns:r="http://schemas.openxmlformats.org/officeDocument/2006/relationships" ref="F171" r:id="rId23"/>
    <hyperlink xmlns:r="http://schemas.openxmlformats.org/officeDocument/2006/relationships" ref="E172" r:id="rId24"/>
    <hyperlink xmlns:r="http://schemas.openxmlformats.org/officeDocument/2006/relationships" ref="F172" r:id="rId25"/>
    <hyperlink xmlns:r="http://schemas.openxmlformats.org/officeDocument/2006/relationships" ref="E173" r:id="rId26"/>
    <hyperlink xmlns:r="http://schemas.openxmlformats.org/officeDocument/2006/relationships" ref="F173" r:id="rId27"/>
    <hyperlink xmlns:r="http://schemas.openxmlformats.org/officeDocument/2006/relationships" ref="E174" r:id="rId28"/>
    <hyperlink xmlns:r="http://schemas.openxmlformats.org/officeDocument/2006/relationships" ref="F174" r:id="rId29"/>
    <hyperlink xmlns:r="http://schemas.openxmlformats.org/officeDocument/2006/relationships" ref="E175" r:id="rId30"/>
    <hyperlink xmlns:r="http://schemas.openxmlformats.org/officeDocument/2006/relationships" ref="F175" r:id="rId31"/>
    <hyperlink xmlns:r="http://schemas.openxmlformats.org/officeDocument/2006/relationships" ref="E176" r:id="rId32"/>
    <hyperlink xmlns:r="http://schemas.openxmlformats.org/officeDocument/2006/relationships" ref="F176" r:id="rId33"/>
    <hyperlink xmlns:r="http://schemas.openxmlformats.org/officeDocument/2006/relationships" ref="E177" r:id="rId34"/>
    <hyperlink xmlns:r="http://schemas.openxmlformats.org/officeDocument/2006/relationships" ref="F177" r:id="rId35"/>
    <hyperlink xmlns:r="http://schemas.openxmlformats.org/officeDocument/2006/relationships" ref="E178" r:id="rId36"/>
    <hyperlink xmlns:r="http://schemas.openxmlformats.org/officeDocument/2006/relationships" ref="F178" r:id="rId37"/>
    <hyperlink xmlns:r="http://schemas.openxmlformats.org/officeDocument/2006/relationships" ref="E179" r:id="rId38"/>
    <hyperlink xmlns:r="http://schemas.openxmlformats.org/officeDocument/2006/relationships" ref="F179" r:id="rId39"/>
    <hyperlink xmlns:r="http://schemas.openxmlformats.org/officeDocument/2006/relationships" ref="E180" r:id="rId40"/>
    <hyperlink xmlns:r="http://schemas.openxmlformats.org/officeDocument/2006/relationships" ref="F180" r:id="rId41"/>
    <hyperlink xmlns:r="http://schemas.openxmlformats.org/officeDocument/2006/relationships" ref="E181" r:id="rId42"/>
    <hyperlink xmlns:r="http://schemas.openxmlformats.org/officeDocument/2006/relationships" ref="F181" r:id="rId43"/>
    <hyperlink xmlns:r="http://schemas.openxmlformats.org/officeDocument/2006/relationships" ref="E182" r:id="rId44"/>
    <hyperlink xmlns:r="http://schemas.openxmlformats.org/officeDocument/2006/relationships" ref="F182" r:id="rId45"/>
    <hyperlink xmlns:r="http://schemas.openxmlformats.org/officeDocument/2006/relationships" ref="E183" r:id="rId46"/>
    <hyperlink xmlns:r="http://schemas.openxmlformats.org/officeDocument/2006/relationships" ref="F183" r:id="rId47"/>
    <hyperlink xmlns:r="http://schemas.openxmlformats.org/officeDocument/2006/relationships" ref="E184" r:id="rId48"/>
    <hyperlink xmlns:r="http://schemas.openxmlformats.org/officeDocument/2006/relationships" ref="F184" r:id="rId49"/>
    <hyperlink xmlns:r="http://schemas.openxmlformats.org/officeDocument/2006/relationships" ref="E185" r:id="rId50"/>
    <hyperlink xmlns:r="http://schemas.openxmlformats.org/officeDocument/2006/relationships" ref="F185" r:id="rId51"/>
    <hyperlink xmlns:r="http://schemas.openxmlformats.org/officeDocument/2006/relationships" ref="E186" r:id="rId52"/>
    <hyperlink xmlns:r="http://schemas.openxmlformats.org/officeDocument/2006/relationships" ref="F186"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Satin Sheets 4 Piece  ·  Amazon.ca (CA)  ·  Satin  ·  BFCM role: Clearance with margin  ·  Scope: Core</t>
        </is>
      </c>
    </row>
    <row r="2">
      <c r="A2" s="52" t="inlineStr">
        <is>
          <t>← Dashboard</t>
        </is>
      </c>
    </row>
    <row r="3" ht="20" customHeight="1">
      <c r="A3" s="53"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4" t="inlineStr">
        <is>
          <t>Full, King, Queen, Twin</t>
        </is>
      </c>
      <c r="S4" s="11" t="inlineStr">
        <is>
          <t>Break-even ACoS</t>
        </is>
      </c>
      <c r="T4" s="54" t="inlineStr">
        <is>
          <t>43%</t>
        </is>
      </c>
    </row>
    <row r="5" ht="22" customHeight="1">
      <c r="C5" s="11" t="inlineStr">
        <is>
          <t>Brand</t>
        </is>
      </c>
      <c r="D5" s="54" t="inlineStr">
        <is>
          <t>Decolure</t>
        </is>
      </c>
      <c r="K5" s="11" t="inlineStr">
        <is>
          <t>Colours</t>
        </is>
      </c>
      <c r="L5" s="54"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4" t="inlineStr">
        <is>
          <t>455</t>
        </is>
      </c>
    </row>
    <row r="6" ht="22" customHeight="1">
      <c r="C6" s="11" t="inlineStr">
        <is>
          <t>Marketplace</t>
        </is>
      </c>
      <c r="D6" s="54" t="inlineStr">
        <is>
          <t>Amazon.ca (CA)</t>
        </is>
      </c>
      <c r="K6" s="11" t="inlineStr">
        <is>
          <t>Price now, best child</t>
        </is>
      </c>
      <c r="L6" s="54" t="inlineStr">
        <is>
          <t>$47.99 (Helium 10 Xray (Amazon.ca, CAD), 2026-10-14)</t>
        </is>
      </c>
      <c r="S6" s="11" t="inlineStr">
        <is>
          <t>Command Center product ASIN</t>
        </is>
      </c>
      <c r="T6" s="54" t="inlineStr">
        <is>
          <t>B0CQRY9WLD (one of our child ASINs, not the Amazon parent)</t>
        </is>
      </c>
    </row>
    <row r="7" ht="22" customHeight="1">
      <c r="C7" s="11" t="inlineStr">
        <is>
          <t>Parent ASIN (Amazon)</t>
        </is>
      </c>
      <c r="D7" s="54" t="inlineStr">
        <is>
          <t>B0CT3HF44M</t>
        </is>
      </c>
      <c r="K7" s="11" t="inlineStr">
        <is>
          <t>Rating / reviews now</t>
        </is>
      </c>
      <c r="L7" s="54" t="inlineStr">
        <is>
          <t>4.3 / 20,283 (Helium 10 Xray (Amazon.ca, CAD), 2026-10-14)</t>
        </is>
      </c>
    </row>
    <row r="8" ht="22" customHeight="1">
      <c r="C8" s="11" t="inlineStr">
        <is>
          <t>Best-selling child ASIN</t>
        </is>
      </c>
      <c r="D8" s="54" t="inlineStr">
        <is>
          <t>B0839MKJMV</t>
        </is>
      </c>
      <c r="K8" s="11" t="inlineStr">
        <is>
          <t>Live prices held</t>
        </is>
      </c>
      <c r="L8" s="54" t="inlineStr">
        <is>
          <t>98 of 127 variations</t>
        </is>
      </c>
    </row>
    <row r="9" ht="22" customHeight="1">
      <c r="C9" s="11" t="inlineStr">
        <is>
          <t>Stage</t>
        </is>
      </c>
      <c r="D9" s="54" t="inlineStr">
        <is>
          <t>Maintenance</t>
        </is>
      </c>
      <c r="K9" s="11" t="inlineStr">
        <is>
          <t>Blended price (Command Center)</t>
        </is>
      </c>
      <c r="L9" s="54" t="inlineStr">
        <is>
          <t>$46.12 - fee feed as of 2026-03-30, STALE</t>
        </is>
      </c>
    </row>
    <row r="10">
      <c r="C10" s="11" t="inlineStr">
        <is>
          <t>Total variations (SKUs)</t>
        </is>
      </c>
      <c r="D10" s="54" t="n">
        <v>127</v>
      </c>
      <c r="K10" s="11" t="inlineStr">
        <is>
          <t>Contribution / unit</t>
        </is>
      </c>
      <c r="L10" s="54" t="inlineStr">
        <is>
          <t>$19.80</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STRIKETHROUGH SHOWN</t>
        </is>
      </c>
    </row>
    <row r="12" ht="24" customHeight="1">
      <c r="A12" s="56" t="inlineStr">
        <is>
          <t>3.27x</t>
        </is>
      </c>
      <c r="E12" s="56" t="inlineStr">
        <is>
          <t>10.1%</t>
        </is>
      </c>
      <c r="I12" s="56" t="inlineStr">
        <is>
          <t>2.06x</t>
        </is>
      </c>
      <c r="M12" s="56" t="inlineStr">
        <is>
          <t>15</t>
        </is>
      </c>
      <c r="Q12" s="56" t="inlineStr">
        <is>
          <t>10</t>
        </is>
      </c>
      <c r="U12" s="56" t="inlineStr">
        <is>
          <t>6 of 15</t>
        </is>
      </c>
    </row>
    <row r="13">
      <c r="A13" s="57" t="inlineStr">
        <is>
          <t>daily sales, BFCM wk vs 30 days before (SellerBoard actual)</t>
        </is>
      </c>
      <c r="E13" s="57" t="inlineStr">
        <is>
          <t>vs 14.7% before</t>
        </is>
      </c>
      <c r="I13" s="57" t="inlineStr">
        <is>
          <t>December daily sales vs Oct 21-Nov 19</t>
        </is>
      </c>
      <c r="M13" s="57" t="inlineStr">
        <is>
          <t>Amazon.ca page research</t>
        </is>
      </c>
      <c r="Q13" s="57" t="inlineStr">
        <is>
          <t>same size, else vs our Queen</t>
        </is>
      </c>
      <c r="U13" s="57" t="inlineStr">
        <is>
          <t>on the Amazon.ca page, Oct 13</t>
        </is>
      </c>
    </row>
    <row r="15" ht="20" customHeight="1">
      <c r="A15" s="53" t="inlineStr">
        <is>
          <t>2 · OUR VARIATIONS (127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59" t="n">
        <v>47.99</v>
      </c>
      <c r="H18" s="32" t="inlineStr">
        <is>
          <t>Helium 10 Xray (Amazon.ca, CAD), 2026-10-14</t>
        </is>
      </c>
      <c r="I18" s="33" t="n"/>
      <c r="J18" s="32" t="n"/>
      <c r="K18" s="33" t="n"/>
      <c r="L18" s="62" t="n"/>
      <c r="M18" s="63" t="n">
        <v>34</v>
      </c>
      <c r="N18" s="32" t="inlineStr">
        <is>
          <t>Active</t>
        </is>
      </c>
      <c r="O18" s="32" t="n"/>
      <c r="P18" s="64" t="n">
        <v>4.3</v>
      </c>
      <c r="Q18" s="63" t="n">
        <v>20283</v>
      </c>
      <c r="R18" s="63" t="n">
        <v>2536</v>
      </c>
      <c r="S18" s="63"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59" t="n">
        <v>47.99</v>
      </c>
      <c r="H19" s="32" t="inlineStr">
        <is>
          <t>Helium 10 Xray (Amazon.ca, CAD), 2026-10-14</t>
        </is>
      </c>
      <c r="I19" s="60" t="n">
        <v>47.99</v>
      </c>
      <c r="J19" s="61" t="inlineStr">
        <is>
          <t>2026-03-30</t>
        </is>
      </c>
      <c r="K19" s="33" t="n">
        <v>22.35</v>
      </c>
      <c r="L19" s="62" t="n">
        <v>0.4657220254219629</v>
      </c>
      <c r="M19" s="63" t="n">
        <v>31</v>
      </c>
      <c r="N19" s="32" t="inlineStr">
        <is>
          <t>Active</t>
        </is>
      </c>
      <c r="O19" s="32" t="n"/>
      <c r="P19" s="64" t="n">
        <v>4.3</v>
      </c>
      <c r="Q19" s="63" t="n">
        <v>20283</v>
      </c>
      <c r="R19" s="63" t="n">
        <v>2554</v>
      </c>
      <c r="S19" s="63"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59" t="n">
        <v>52.99</v>
      </c>
      <c r="H20" s="32" t="inlineStr">
        <is>
          <t>Helium 10 Xray (Amazon.ca, CAD), 2026-10-14</t>
        </is>
      </c>
      <c r="I20" s="60" t="n">
        <v>52.99</v>
      </c>
      <c r="J20" s="61" t="inlineStr">
        <is>
          <t>2026-03-30</t>
        </is>
      </c>
      <c r="K20" s="33" t="n">
        <v>23.71</v>
      </c>
      <c r="L20" s="62" t="n">
        <v>0.4474429137573127</v>
      </c>
      <c r="M20" s="63" t="n">
        <v>29</v>
      </c>
      <c r="N20" s="32" t="inlineStr">
        <is>
          <t>Active</t>
        </is>
      </c>
      <c r="O20" s="32" t="n"/>
      <c r="P20" s="64" t="n">
        <v>4.3</v>
      </c>
      <c r="Q20" s="63" t="n">
        <v>20283</v>
      </c>
      <c r="R20" s="63" t="n">
        <v>2554</v>
      </c>
      <c r="S20" s="63"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59" t="n">
        <v>47.99</v>
      </c>
      <c r="H21" s="32" t="inlineStr">
        <is>
          <t>Helium 10 Xray (Amazon.ca, CAD), 2026-10-14</t>
        </is>
      </c>
      <c r="I21" s="60" t="n">
        <v>47.99</v>
      </c>
      <c r="J21" s="61" t="inlineStr">
        <is>
          <t>2026-03-30</t>
        </is>
      </c>
      <c r="K21" s="33" t="n">
        <v>22.43</v>
      </c>
      <c r="L21" s="62" t="n">
        <v>0.4673890393832048</v>
      </c>
      <c r="M21" s="63" t="n">
        <v>17</v>
      </c>
      <c r="N21" s="32" t="inlineStr">
        <is>
          <t>Active</t>
        </is>
      </c>
      <c r="O21" s="32" t="n"/>
      <c r="P21" s="64" t="n">
        <v>4.3</v>
      </c>
      <c r="Q21" s="63" t="n">
        <v>20283</v>
      </c>
      <c r="R21" s="63" t="n">
        <v>2554</v>
      </c>
      <c r="S21" s="63"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59" t="n">
        <v>44.99</v>
      </c>
      <c r="H22" s="32" t="inlineStr">
        <is>
          <t>Helium 10 Xray (Amazon.ca, CAD), 2026-10-14</t>
        </is>
      </c>
      <c r="I22" s="60" t="n">
        <v>44.99</v>
      </c>
      <c r="J22" s="61" t="inlineStr">
        <is>
          <t>2026-03-30</t>
        </is>
      </c>
      <c r="K22" s="33" t="n">
        <v>19.93</v>
      </c>
      <c r="L22" s="62" t="n">
        <v>0.4429873305178929</v>
      </c>
      <c r="M22" s="63" t="n">
        <v>14</v>
      </c>
      <c r="N22" s="32" t="inlineStr">
        <is>
          <t>Active</t>
        </is>
      </c>
      <c r="O22" s="32" t="n"/>
      <c r="P22" s="64" t="n">
        <v>4.3</v>
      </c>
      <c r="Q22" s="63" t="n">
        <v>20283</v>
      </c>
      <c r="R22" s="63" t="n">
        <v>2554</v>
      </c>
      <c r="S22" s="63"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59" t="n">
        <v>47.99</v>
      </c>
      <c r="H23" s="32" t="inlineStr">
        <is>
          <t>Helium 10 Xray (Amazon.ca, CAD), 2026-10-14</t>
        </is>
      </c>
      <c r="I23" s="60" t="n">
        <v>31.49</v>
      </c>
      <c r="J23" s="61" t="inlineStr">
        <is>
          <t>2026-03-22</t>
        </is>
      </c>
      <c r="K23" s="33" t="n">
        <v>7.379999999999999</v>
      </c>
      <c r="L23" s="62" t="n">
        <v>0.234360114322007</v>
      </c>
      <c r="M23" s="63" t="n">
        <v>14</v>
      </c>
      <c r="N23" s="32" t="inlineStr">
        <is>
          <t>Active</t>
        </is>
      </c>
      <c r="O23" s="32" t="n"/>
      <c r="P23" s="64" t="n">
        <v>4.3</v>
      </c>
      <c r="Q23" s="63" t="n">
        <v>20283</v>
      </c>
      <c r="R23" s="63" t="n">
        <v>2554</v>
      </c>
      <c r="S23" s="63"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59" t="n">
        <v>47.99</v>
      </c>
      <c r="H24" s="32" t="inlineStr">
        <is>
          <t>Helium 10 Xray (Amazon.ca, CAD), 2026-10-14</t>
        </is>
      </c>
      <c r="I24" s="60" t="n">
        <v>47.99</v>
      </c>
      <c r="J24" s="61" t="inlineStr">
        <is>
          <t>2026-03-10</t>
        </is>
      </c>
      <c r="K24" s="33" t="n">
        <v>20.2</v>
      </c>
      <c r="L24" s="62" t="n">
        <v>0.4209210252135861</v>
      </c>
      <c r="M24" s="63" t="n">
        <v>14</v>
      </c>
      <c r="N24" s="32" t="inlineStr">
        <is>
          <t>Active</t>
        </is>
      </c>
      <c r="O24" s="32" t="n"/>
      <c r="P24" s="64" t="n">
        <v>4.3</v>
      </c>
      <c r="Q24" s="63" t="n">
        <v>20283</v>
      </c>
      <c r="R24" s="63" t="n">
        <v>2536</v>
      </c>
      <c r="S24" s="63"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59" t="n">
        <v>44.99</v>
      </c>
      <c r="H25" s="32" t="inlineStr">
        <is>
          <t>Helium 10 Xray (Amazon.ca, CAD), 2026-10-14</t>
        </is>
      </c>
      <c r="I25" s="60" t="n">
        <v>27.49</v>
      </c>
      <c r="J25" s="61" t="inlineStr">
        <is>
          <t>2026-03-22</t>
        </is>
      </c>
      <c r="K25" s="33" t="n">
        <v>4.869999999999997</v>
      </c>
      <c r="L25" s="62" t="n">
        <v>0.1771553292106219</v>
      </c>
      <c r="M25" s="63" t="n">
        <v>12</v>
      </c>
      <c r="N25" s="32" t="inlineStr">
        <is>
          <t>Active</t>
        </is>
      </c>
      <c r="O25" s="32" t="n"/>
      <c r="P25" s="64" t="n">
        <v>4.3</v>
      </c>
      <c r="Q25" s="63" t="n">
        <v>20283</v>
      </c>
      <c r="R25" s="63" t="n">
        <v>2536</v>
      </c>
      <c r="S25" s="63"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59" t="n">
        <v>47.99</v>
      </c>
      <c r="H26" s="32" t="inlineStr">
        <is>
          <t>Helium 10 Xray (Amazon.ca, CAD), 2026-10-14</t>
        </is>
      </c>
      <c r="I26" s="60" t="n">
        <v>47.99</v>
      </c>
      <c r="J26" s="61" t="inlineStr">
        <is>
          <t>2026-03-30</t>
        </is>
      </c>
      <c r="K26" s="33" t="n">
        <v>22.27</v>
      </c>
      <c r="L26" s="62" t="n">
        <v>0.464055011460721</v>
      </c>
      <c r="M26" s="63" t="n">
        <v>11</v>
      </c>
      <c r="N26" s="32" t="inlineStr">
        <is>
          <t>Active</t>
        </is>
      </c>
      <c r="O26" s="32" t="n"/>
      <c r="P26" s="64" t="n">
        <v>4.3</v>
      </c>
      <c r="Q26" s="63" t="n">
        <v>20283</v>
      </c>
      <c r="R26" s="63" t="n">
        <v>2554</v>
      </c>
      <c r="S26" s="63"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59" t="n">
        <v>44.99</v>
      </c>
      <c r="H27" s="32" t="inlineStr">
        <is>
          <t>Helium 10 Xray (Amazon.ca, CAD), 2026-10-14</t>
        </is>
      </c>
      <c r="I27" s="60" t="n">
        <v>44.99</v>
      </c>
      <c r="J27" s="61" t="inlineStr">
        <is>
          <t>2026-03-30</t>
        </is>
      </c>
      <c r="K27" s="33" t="n">
        <v>19.93</v>
      </c>
      <c r="L27" s="62" t="n">
        <v>0.4429873305178929</v>
      </c>
      <c r="M27" s="63" t="n">
        <v>10</v>
      </c>
      <c r="N27" s="32" t="inlineStr">
        <is>
          <t>Active</t>
        </is>
      </c>
      <c r="O27" s="32" t="n"/>
      <c r="P27" s="64" t="n">
        <v>4.3</v>
      </c>
      <c r="Q27" s="63" t="n">
        <v>20283</v>
      </c>
      <c r="R27" s="63" t="n">
        <v>2554</v>
      </c>
      <c r="S27" s="63"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59" t="n">
        <v>44.99</v>
      </c>
      <c r="H28" s="32" t="inlineStr">
        <is>
          <t>Helium 10 Xray (Amazon.ca, CAD), 2026-10-14</t>
        </is>
      </c>
      <c r="I28" s="60" t="n">
        <v>44.99</v>
      </c>
      <c r="J28" s="61" t="inlineStr">
        <is>
          <t>2026-03-30</t>
        </is>
      </c>
      <c r="K28" s="33" t="n">
        <v>20.93</v>
      </c>
      <c r="L28" s="62" t="n">
        <v>0.4652144921093576</v>
      </c>
      <c r="M28" s="63" t="n">
        <v>9</v>
      </c>
      <c r="N28" s="32" t="inlineStr">
        <is>
          <t>Active</t>
        </is>
      </c>
      <c r="O28" s="32" t="n"/>
      <c r="P28" s="64" t="n">
        <v>4.3</v>
      </c>
      <c r="Q28" s="63" t="n">
        <v>20283</v>
      </c>
      <c r="R28" s="63" t="n">
        <v>2554</v>
      </c>
      <c r="S28" s="63"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59" t="n">
        <v>52.99</v>
      </c>
      <c r="H29" s="32" t="inlineStr">
        <is>
          <t>Helium 10 Xray (Amazon.ca, CAD), 2026-10-14</t>
        </is>
      </c>
      <c r="I29" s="60" t="n">
        <v>52.99</v>
      </c>
      <c r="J29" s="61" t="inlineStr">
        <is>
          <t>2026-03-30</t>
        </is>
      </c>
      <c r="K29" s="33" t="n">
        <v>23.79</v>
      </c>
      <c r="L29" s="62" t="n">
        <v>0.4489526325721834</v>
      </c>
      <c r="M29" s="63" t="n">
        <v>9</v>
      </c>
      <c r="N29" s="32" t="inlineStr">
        <is>
          <t>Active</t>
        </is>
      </c>
      <c r="O29" s="32" t="n"/>
      <c r="P29" s="64" t="n">
        <v>4.3</v>
      </c>
      <c r="Q29" s="63" t="n">
        <v>20283</v>
      </c>
      <c r="R29" s="63" t="n">
        <v>2554</v>
      </c>
      <c r="S29" s="63"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59" t="n">
        <v>47.99</v>
      </c>
      <c r="H30" s="32" t="inlineStr">
        <is>
          <t>Helium 10 Xray (Amazon.ca, CAD), 2026-10-14</t>
        </is>
      </c>
      <c r="I30" s="60" t="n">
        <v>47.99</v>
      </c>
      <c r="J30" s="61" t="inlineStr">
        <is>
          <t>2026-03-30</t>
        </is>
      </c>
      <c r="K30" s="33" t="n">
        <v>22.32</v>
      </c>
      <c r="L30" s="62" t="n">
        <v>0.4650968951864972</v>
      </c>
      <c r="M30" s="63" t="n">
        <v>9</v>
      </c>
      <c r="N30" s="32" t="inlineStr">
        <is>
          <t>Active</t>
        </is>
      </c>
      <c r="O30" s="32" t="n"/>
      <c r="P30" s="64" t="n">
        <v>4.3</v>
      </c>
      <c r="Q30" s="63" t="n">
        <v>20283</v>
      </c>
      <c r="R30" s="63" t="n">
        <v>2554</v>
      </c>
      <c r="S30" s="63"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59" t="n">
        <v>47.99</v>
      </c>
      <c r="H31" s="32" t="inlineStr">
        <is>
          <t>Helium 10 Xray (Amazon.ca, CAD), 2026-10-14</t>
        </is>
      </c>
      <c r="I31" s="60" t="n">
        <v>47.99</v>
      </c>
      <c r="J31" s="61" t="inlineStr">
        <is>
          <t>2026-03-30</t>
        </is>
      </c>
      <c r="K31" s="33" t="n">
        <v>20.2</v>
      </c>
      <c r="L31" s="62" t="n">
        <v>0.4209210252135861</v>
      </c>
      <c r="M31" s="63" t="n">
        <v>9</v>
      </c>
      <c r="N31" s="32" t="inlineStr">
        <is>
          <t>Active</t>
        </is>
      </c>
      <c r="O31" s="32" t="n"/>
      <c r="P31" s="64" t="n">
        <v>4.3</v>
      </c>
      <c r="Q31" s="63" t="n">
        <v>20283</v>
      </c>
      <c r="R31" s="63" t="n">
        <v>2554</v>
      </c>
      <c r="S31" s="63"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59" t="n">
        <v>47.99</v>
      </c>
      <c r="H32" s="32" t="inlineStr">
        <is>
          <t>Helium 10 Xray (Amazon.ca, CAD), 2026-10-14</t>
        </is>
      </c>
      <c r="I32" s="60" t="n">
        <v>47.99</v>
      </c>
      <c r="J32" s="61" t="inlineStr">
        <is>
          <t>2026-03-30</t>
        </is>
      </c>
      <c r="K32" s="33" t="n">
        <v>22.19</v>
      </c>
      <c r="L32" s="62" t="n">
        <v>0.462387997499479</v>
      </c>
      <c r="M32" s="63" t="n">
        <v>9</v>
      </c>
      <c r="N32" s="32" t="inlineStr">
        <is>
          <t>Active</t>
        </is>
      </c>
      <c r="O32" s="32" t="n"/>
      <c r="P32" s="64" t="n">
        <v>4.3</v>
      </c>
      <c r="Q32" s="63" t="n">
        <v>20283</v>
      </c>
      <c r="R32" s="63" t="n">
        <v>2554</v>
      </c>
      <c r="S32" s="63"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59" t="n">
        <v>44.99</v>
      </c>
      <c r="H33" s="32" t="inlineStr">
        <is>
          <t>Helium 10 Xray (Amazon.ca, CAD), 2026-10-14</t>
        </is>
      </c>
      <c r="I33" s="60" t="n">
        <v>44.99</v>
      </c>
      <c r="J33" s="61" t="inlineStr">
        <is>
          <t>2026-03-30</t>
        </is>
      </c>
      <c r="K33" s="33" t="n">
        <v>21.01</v>
      </c>
      <c r="L33" s="62" t="n">
        <v>0.4669926650366747</v>
      </c>
      <c r="M33" s="63" t="n">
        <v>8</v>
      </c>
      <c r="N33" s="32" t="inlineStr">
        <is>
          <t>Active</t>
        </is>
      </c>
      <c r="O33" s="32" t="n"/>
      <c r="P33" s="64" t="n">
        <v>4.3</v>
      </c>
      <c r="Q33" s="63" t="n">
        <v>20283</v>
      </c>
      <c r="R33" s="63" t="n">
        <v>2554</v>
      </c>
      <c r="S33" s="63"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59" t="n">
        <v>44.99</v>
      </c>
      <c r="H34" s="32" t="inlineStr">
        <is>
          <t>Helium 10 Xray (Amazon.ca, CAD), 2026-10-14</t>
        </is>
      </c>
      <c r="I34" s="60" t="n">
        <v>44.99</v>
      </c>
      <c r="J34" s="61" t="inlineStr">
        <is>
          <t>2026-03-30</t>
        </is>
      </c>
      <c r="K34" s="33" t="n">
        <v>21</v>
      </c>
      <c r="L34" s="62" t="n">
        <v>0.4667703934207602</v>
      </c>
      <c r="M34" s="63" t="n">
        <v>8</v>
      </c>
      <c r="N34" s="32" t="inlineStr">
        <is>
          <t>Active</t>
        </is>
      </c>
      <c r="O34" s="32" t="n"/>
      <c r="P34" s="64" t="n">
        <v>4.3</v>
      </c>
      <c r="Q34" s="63" t="n">
        <v>20283</v>
      </c>
      <c r="R34" s="63" t="n">
        <v>2554</v>
      </c>
      <c r="S34" s="63"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59" t="n">
        <v>47.99</v>
      </c>
      <c r="H35" s="32" t="inlineStr">
        <is>
          <t>Helium 10 Xray (Amazon.ca, CAD), 2026-10-14</t>
        </is>
      </c>
      <c r="I35" s="60" t="n">
        <v>47.99</v>
      </c>
      <c r="J35" s="61" t="inlineStr">
        <is>
          <t>2026-03-30</t>
        </is>
      </c>
      <c r="K35" s="33" t="n">
        <v>20.31</v>
      </c>
      <c r="L35" s="62" t="n">
        <v>0.4232131694102936</v>
      </c>
      <c r="M35" s="63" t="n">
        <v>8</v>
      </c>
      <c r="N35" s="32" t="inlineStr">
        <is>
          <t>Active</t>
        </is>
      </c>
      <c r="O35" s="32" t="n"/>
      <c r="P35" s="64" t="n">
        <v>4.3</v>
      </c>
      <c r="Q35" s="63" t="n">
        <v>20283</v>
      </c>
      <c r="R35" s="63" t="n">
        <v>2554</v>
      </c>
      <c r="S35" s="63"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59" t="n">
        <v>52.99</v>
      </c>
      <c r="H36" s="32" t="inlineStr">
        <is>
          <t>Helium 10 Xray (Amazon.ca, CAD), 2026-10-14</t>
        </is>
      </c>
      <c r="I36" s="60" t="n">
        <v>34.39</v>
      </c>
      <c r="J36" s="61" t="inlineStr">
        <is>
          <t>2026-03-22</t>
        </is>
      </c>
      <c r="K36" s="33" t="n">
        <v>7.900000000000002</v>
      </c>
      <c r="L36" s="62" t="n">
        <v>0.2297179412619949</v>
      </c>
      <c r="M36" s="63" t="n">
        <v>7</v>
      </c>
      <c r="N36" s="32" t="inlineStr">
        <is>
          <t>Active</t>
        </is>
      </c>
      <c r="O36" s="32" t="n"/>
      <c r="P36" s="64" t="n">
        <v>4.3</v>
      </c>
      <c r="Q36" s="63" t="n">
        <v>20283</v>
      </c>
      <c r="R36" s="63" t="n">
        <v>2554</v>
      </c>
      <c r="S36" s="63"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59" t="n">
        <v>47.99</v>
      </c>
      <c r="H37" s="32" t="inlineStr">
        <is>
          <t>Helium 10 Xray (Amazon.ca, CAD), 2026-10-14</t>
        </is>
      </c>
      <c r="I37" s="60" t="n">
        <v>28.34</v>
      </c>
      <c r="J37" s="61" t="inlineStr">
        <is>
          <t>2026-03-22</t>
        </is>
      </c>
      <c r="K37" s="33" t="n">
        <v>5.41</v>
      </c>
      <c r="L37" s="62" t="n">
        <v>0.1908962597035991</v>
      </c>
      <c r="M37" s="63" t="n">
        <v>7</v>
      </c>
      <c r="N37" s="32" t="inlineStr">
        <is>
          <t>Active</t>
        </is>
      </c>
      <c r="O37" s="32" t="n"/>
      <c r="P37" s="64" t="n">
        <v>4.3</v>
      </c>
      <c r="Q37" s="63" t="n">
        <v>20283</v>
      </c>
      <c r="R37" s="63" t="n">
        <v>2554</v>
      </c>
      <c r="S37" s="63"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59" t="n">
        <v>47.99</v>
      </c>
      <c r="H38" s="32" t="inlineStr">
        <is>
          <t>Helium 10 Xray (Amazon.ca, CAD), 2026-10-14</t>
        </is>
      </c>
      <c r="I38" s="60" t="n">
        <v>47.99</v>
      </c>
      <c r="J38" s="61" t="inlineStr">
        <is>
          <t>2026-03-30</t>
        </is>
      </c>
      <c r="K38" s="33" t="n">
        <v>21.1</v>
      </c>
      <c r="L38" s="62" t="n">
        <v>0.4396749322775577</v>
      </c>
      <c r="M38" s="63" t="n">
        <v>7</v>
      </c>
      <c r="N38" s="32" t="inlineStr">
        <is>
          <t>Active</t>
        </is>
      </c>
      <c r="O38" s="32" t="n"/>
      <c r="P38" s="64" t="n">
        <v>4.3</v>
      </c>
      <c r="Q38" s="63" t="n">
        <v>20283</v>
      </c>
      <c r="R38" s="63" t="n">
        <v>2554</v>
      </c>
      <c r="S38" s="63"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59" t="n">
        <v>39.99</v>
      </c>
      <c r="H39" s="32" t="inlineStr">
        <is>
          <t>Helium 10 Xray (Amazon.ca, CAD), 2026-10-14</t>
        </is>
      </c>
      <c r="I39" s="60" t="n">
        <v>39.99</v>
      </c>
      <c r="J39" s="61" t="inlineStr">
        <is>
          <t>2026-03-30</t>
        </is>
      </c>
      <c r="K39" s="33" t="n">
        <v>17.31</v>
      </c>
      <c r="L39" s="62" t="n">
        <v>0.4328582145536384</v>
      </c>
      <c r="M39" s="63" t="n">
        <v>7</v>
      </c>
      <c r="N39" s="32" t="inlineStr">
        <is>
          <t>Active</t>
        </is>
      </c>
      <c r="O39" s="32" t="n"/>
      <c r="P39" s="64" t="n">
        <v>4.3</v>
      </c>
      <c r="Q39" s="63" t="n">
        <v>20283</v>
      </c>
      <c r="R39" s="63" t="n">
        <v>2554</v>
      </c>
      <c r="S39" s="63"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59" t="n">
        <v>44.99</v>
      </c>
      <c r="H40" s="32" t="inlineStr">
        <is>
          <t>Helium 10 Xray (Amazon.ca, CAD), 2026-10-14</t>
        </is>
      </c>
      <c r="I40" s="60" t="n">
        <v>44.99</v>
      </c>
      <c r="J40" s="61" t="inlineStr">
        <is>
          <t>2026-03-30</t>
        </is>
      </c>
      <c r="K40" s="33" t="n">
        <v>20.6</v>
      </c>
      <c r="L40" s="62" t="n">
        <v>0.4578795287841743</v>
      </c>
      <c r="M40" s="63" t="n">
        <v>6</v>
      </c>
      <c r="N40" s="32" t="inlineStr">
        <is>
          <t>Active</t>
        </is>
      </c>
      <c r="O40" s="32" t="n"/>
      <c r="P40" s="64" t="n">
        <v>4.3</v>
      </c>
      <c r="Q40" s="63" t="n">
        <v>20283</v>
      </c>
      <c r="R40" s="63" t="n">
        <v>2554</v>
      </c>
      <c r="S40" s="63"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59" t="n">
        <v>52.99</v>
      </c>
      <c r="H41" s="32" t="inlineStr">
        <is>
          <t>Helium 10 Xray (Amazon.ca, CAD), 2026-10-14</t>
        </is>
      </c>
      <c r="I41" s="60" t="n">
        <v>52.99</v>
      </c>
      <c r="J41" s="61" t="inlineStr">
        <is>
          <t>2026-03-30</t>
        </is>
      </c>
      <c r="K41" s="33" t="n">
        <v>24.08</v>
      </c>
      <c r="L41" s="62" t="n">
        <v>0.4544253632760898</v>
      </c>
      <c r="M41" s="63" t="n">
        <v>6</v>
      </c>
      <c r="N41" s="32" t="inlineStr">
        <is>
          <t>Active</t>
        </is>
      </c>
      <c r="O41" s="32" t="n"/>
      <c r="P41" s="64" t="n">
        <v>4.3</v>
      </c>
      <c r="Q41" s="63" t="n">
        <v>20283</v>
      </c>
      <c r="R41" s="63" t="n">
        <v>2554</v>
      </c>
      <c r="S41" s="63"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59" t="n">
        <v>47.99</v>
      </c>
      <c r="H42" s="32" t="inlineStr">
        <is>
          <t>Helium 10 Xray (Amazon.ca, CAD), 2026-10-14</t>
        </is>
      </c>
      <c r="I42" s="60" t="n">
        <v>47.99</v>
      </c>
      <c r="J42" s="61" t="inlineStr">
        <is>
          <t>2026-03-30</t>
        </is>
      </c>
      <c r="K42" s="33" t="n">
        <v>20.86</v>
      </c>
      <c r="L42" s="62" t="n">
        <v>0.434673890393832</v>
      </c>
      <c r="M42" s="63" t="n">
        <v>6</v>
      </c>
      <c r="N42" s="32" t="inlineStr">
        <is>
          <t>Active</t>
        </is>
      </c>
      <c r="O42" s="32" t="n"/>
      <c r="P42" s="64" t="n">
        <v>4.3</v>
      </c>
      <c r="Q42" s="63" t="n">
        <v>20283</v>
      </c>
      <c r="R42" s="63" t="n">
        <v>2554</v>
      </c>
      <c r="S42" s="63"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59" t="n">
        <v>47.99</v>
      </c>
      <c r="H43" s="32" t="inlineStr">
        <is>
          <t>Helium 10 Xray (Amazon.ca, CAD), 2026-10-14</t>
        </is>
      </c>
      <c r="I43" s="60" t="n">
        <v>58.81</v>
      </c>
      <c r="J43" s="61" t="inlineStr">
        <is>
          <t>2026-03-30</t>
        </is>
      </c>
      <c r="K43" s="33" t="n">
        <v>31.42</v>
      </c>
      <c r="L43" s="62" t="n">
        <v>0.5342628804625064</v>
      </c>
      <c r="M43" s="63" t="n">
        <v>6</v>
      </c>
      <c r="N43" s="32" t="inlineStr">
        <is>
          <t>Active</t>
        </is>
      </c>
      <c r="O43" s="32" t="n"/>
      <c r="P43" s="64" t="n">
        <v>4.3</v>
      </c>
      <c r="Q43" s="63" t="n">
        <v>20283</v>
      </c>
      <c r="R43" s="63" t="n">
        <v>2554</v>
      </c>
      <c r="S43" s="63"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0" t="n">
        <v>47.99</v>
      </c>
      <c r="J44" s="61" t="inlineStr">
        <is>
          <t>2026-03-30</t>
        </is>
      </c>
      <c r="K44" s="33" t="n">
        <v>21.54</v>
      </c>
      <c r="L44" s="62" t="n">
        <v>0.4488435090643883</v>
      </c>
      <c r="M44" s="63" t="n">
        <v>6</v>
      </c>
      <c r="N44" s="32" t="inlineStr">
        <is>
          <t>Active</t>
        </is>
      </c>
      <c r="O44" s="32" t="n"/>
      <c r="P44" s="64" t="n"/>
      <c r="Q44" s="63" t="n"/>
      <c r="R44" s="63" t="n"/>
      <c r="S44" s="63"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59" t="n">
        <v>47.99</v>
      </c>
      <c r="H45" s="32" t="inlineStr">
        <is>
          <t>Helium 10 Xray (Amazon.ca, CAD), 2026-10-14</t>
        </is>
      </c>
      <c r="I45" s="60" t="n">
        <v>47.99</v>
      </c>
      <c r="J45" s="61" t="inlineStr">
        <is>
          <t>2026-03-30</t>
        </is>
      </c>
      <c r="K45" s="33" t="n">
        <v>20.82</v>
      </c>
      <c r="L45" s="62" t="n">
        <v>0.4338403834132111</v>
      </c>
      <c r="M45" s="63" t="n">
        <v>6</v>
      </c>
      <c r="N45" s="32" t="inlineStr">
        <is>
          <t>Active</t>
        </is>
      </c>
      <c r="O45" s="32" t="n"/>
      <c r="P45" s="64" t="n">
        <v>4.3</v>
      </c>
      <c r="Q45" s="63" t="n">
        <v>20283</v>
      </c>
      <c r="R45" s="63" t="n">
        <v>2554</v>
      </c>
      <c r="S45" s="63"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59" t="n">
        <v>52.99</v>
      </c>
      <c r="H46" s="32" t="inlineStr">
        <is>
          <t>Helium 10 Xray (Amazon.ca, CAD), 2026-10-14</t>
        </is>
      </c>
      <c r="I46" s="60" t="n">
        <v>52.99</v>
      </c>
      <c r="J46" s="61" t="inlineStr">
        <is>
          <t>2026-03-30</t>
        </is>
      </c>
      <c r="K46" s="33" t="n">
        <v>23.51</v>
      </c>
      <c r="L46" s="62" t="n">
        <v>0.4436686167201359</v>
      </c>
      <c r="M46" s="63" t="n">
        <v>5</v>
      </c>
      <c r="N46" s="32" t="inlineStr">
        <is>
          <t>Active</t>
        </is>
      </c>
      <c r="O46" s="32" t="n"/>
      <c r="P46" s="64" t="n">
        <v>4.3</v>
      </c>
      <c r="Q46" s="63" t="n">
        <v>20283</v>
      </c>
      <c r="R46" s="63" t="n">
        <v>2554</v>
      </c>
      <c r="S46" s="63"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0" t="n">
        <v>52.99</v>
      </c>
      <c r="J47" s="61" t="inlineStr">
        <is>
          <t>2026-03-30</t>
        </is>
      </c>
      <c r="K47" s="33" t="n">
        <v>23.02</v>
      </c>
      <c r="L47" s="62" t="n">
        <v>0.4344215889790528</v>
      </c>
      <c r="M47" s="63" t="n">
        <v>5</v>
      </c>
      <c r="N47" s="65" t="inlineStr">
        <is>
          <t>Not buyable on Amazon 2026-10-14: page redirects to B0BZPV4LYC (Full Taupe) - FBA stock 0 since 2026-10-02, 100 inbound (DataHub 2026-10-14)</t>
        </is>
      </c>
      <c r="O47" s="32" t="n"/>
      <c r="P47" s="64" t="n"/>
      <c r="Q47" s="63" t="n"/>
      <c r="R47" s="63" t="n"/>
      <c r="S47" s="63"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59" t="n">
        <v>47.99</v>
      </c>
      <c r="H48" s="32" t="inlineStr">
        <is>
          <t>Helium 10 Xray (Amazon.ca, CAD), 2026-10-14</t>
        </is>
      </c>
      <c r="I48" s="60" t="n">
        <v>47.99</v>
      </c>
      <c r="J48" s="61" t="inlineStr">
        <is>
          <t>2026-03-30</t>
        </is>
      </c>
      <c r="K48" s="33" t="n">
        <v>22.02</v>
      </c>
      <c r="L48" s="62" t="n">
        <v>0.4588455928318398</v>
      </c>
      <c r="M48" s="63" t="n">
        <v>5</v>
      </c>
      <c r="N48" s="32" t="inlineStr">
        <is>
          <t>Active</t>
        </is>
      </c>
      <c r="O48" s="32" t="n"/>
      <c r="P48" s="64" t="n">
        <v>4.3</v>
      </c>
      <c r="Q48" s="63" t="n">
        <v>20283</v>
      </c>
      <c r="R48" s="63" t="n">
        <v>2554</v>
      </c>
      <c r="S48" s="63"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59" t="n">
        <v>47.99</v>
      </c>
      <c r="H49" s="32" t="inlineStr">
        <is>
          <t>Helium 10 Xray (Amazon.ca, CAD), 2026-10-14</t>
        </is>
      </c>
      <c r="I49" s="60" t="n">
        <v>58.65</v>
      </c>
      <c r="J49" s="61" t="inlineStr">
        <is>
          <t>2026-03-30</t>
        </is>
      </c>
      <c r="K49" s="33" t="n">
        <v>24.07</v>
      </c>
      <c r="L49" s="62" t="n">
        <v>0.4104006820119352</v>
      </c>
      <c r="M49" s="63" t="n">
        <v>5</v>
      </c>
      <c r="N49" s="32" t="inlineStr">
        <is>
          <t>Active</t>
        </is>
      </c>
      <c r="O49" s="32" t="n"/>
      <c r="P49" s="64" t="n">
        <v>4.3</v>
      </c>
      <c r="Q49" s="63" t="n">
        <v>20283</v>
      </c>
      <c r="R49" s="63" t="n">
        <v>2554</v>
      </c>
      <c r="S49" s="63"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59" t="n">
        <v>62.81</v>
      </c>
      <c r="H50" s="32" t="inlineStr">
        <is>
          <t>Helium 10 Xray (Amazon.ca, CAD), 2026-10-14</t>
        </is>
      </c>
      <c r="I50" s="60" t="n">
        <v>47.99</v>
      </c>
      <c r="J50" s="61" t="inlineStr">
        <is>
          <t>2026-03-30</t>
        </is>
      </c>
      <c r="K50" s="33" t="n">
        <v>20.07</v>
      </c>
      <c r="L50" s="62" t="n">
        <v>0.418212127526568</v>
      </c>
      <c r="M50" s="63" t="n">
        <v>5</v>
      </c>
      <c r="N50" s="32" t="inlineStr">
        <is>
          <t>Inactive</t>
        </is>
      </c>
      <c r="O50" s="32" t="n"/>
      <c r="P50" s="64" t="n">
        <v>4.3</v>
      </c>
      <c r="Q50" s="63" t="n">
        <v>20283</v>
      </c>
      <c r="R50" s="63" t="n">
        <v>2554</v>
      </c>
      <c r="S50" s="63"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59" t="n">
        <v>39.99</v>
      </c>
      <c r="H51" s="32" t="inlineStr">
        <is>
          <t>Helium 10 Xray (Amazon.ca, CAD), 2026-10-14</t>
        </is>
      </c>
      <c r="I51" s="60" t="n">
        <v>28.79</v>
      </c>
      <c r="J51" s="61" t="inlineStr">
        <is>
          <t>2026-03-30</t>
        </is>
      </c>
      <c r="K51" s="33" t="n">
        <v>7.549999999999999</v>
      </c>
      <c r="L51" s="62" t="n">
        <v>0.2622438346648142</v>
      </c>
      <c r="M51" s="63" t="n">
        <v>5</v>
      </c>
      <c r="N51" s="32" t="inlineStr">
        <is>
          <t>Active</t>
        </is>
      </c>
      <c r="O51" s="32" t="n"/>
      <c r="P51" s="64" t="n">
        <v>4.3</v>
      </c>
      <c r="Q51" s="63" t="n">
        <v>20283</v>
      </c>
      <c r="R51" s="63" t="n">
        <v>2554</v>
      </c>
      <c r="S51" s="63"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59" t="n">
        <v>39.99</v>
      </c>
      <c r="H52" s="32" t="inlineStr">
        <is>
          <t>Helium 10 Xray (Amazon.ca, CAD), 2026-10-14</t>
        </is>
      </c>
      <c r="I52" s="60" t="n">
        <v>39.99</v>
      </c>
      <c r="J52" s="61" t="inlineStr">
        <is>
          <t>2026-03-30</t>
        </is>
      </c>
      <c r="K52" s="33" t="n">
        <v>18.34</v>
      </c>
      <c r="L52" s="62" t="n">
        <v>0.4586146536634159</v>
      </c>
      <c r="M52" s="63" t="n">
        <v>5</v>
      </c>
      <c r="N52" s="32" t="inlineStr">
        <is>
          <t>Active</t>
        </is>
      </c>
      <c r="O52" s="32" t="n"/>
      <c r="P52" s="64" t="n">
        <v>4.3</v>
      </c>
      <c r="Q52" s="63" t="n">
        <v>20283</v>
      </c>
      <c r="R52" s="63" t="n">
        <v>2554</v>
      </c>
      <c r="S52" s="63"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59" t="n">
        <v>44.99</v>
      </c>
      <c r="H53" s="32" t="inlineStr">
        <is>
          <t>Helium 10 Xray (Amazon.ca, CAD), 2026-10-14</t>
        </is>
      </c>
      <c r="I53" s="60" t="n">
        <v>44.99</v>
      </c>
      <c r="J53" s="61" t="inlineStr">
        <is>
          <t>2026-03-30</t>
        </is>
      </c>
      <c r="K53" s="33" t="n">
        <v>20.58</v>
      </c>
      <c r="L53" s="62" t="n">
        <v>0.4574349855523449</v>
      </c>
      <c r="M53" s="63" t="n">
        <v>4</v>
      </c>
      <c r="N53" s="32" t="inlineStr">
        <is>
          <t>Active</t>
        </is>
      </c>
      <c r="O53" s="32" t="n"/>
      <c r="P53" s="64" t="n">
        <v>4.3</v>
      </c>
      <c r="Q53" s="63" t="n">
        <v>20283</v>
      </c>
      <c r="R53" s="63" t="n">
        <v>2554</v>
      </c>
      <c r="S53" s="63"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59" t="n">
        <v>52.99</v>
      </c>
      <c r="H54" s="32" t="inlineStr">
        <is>
          <t>Helium 10 Xray (Amazon.ca, CAD), 2026-10-14</t>
        </is>
      </c>
      <c r="I54" s="60" t="n">
        <v>52.99</v>
      </c>
      <c r="J54" s="61" t="inlineStr">
        <is>
          <t>2026-03-30</t>
        </is>
      </c>
      <c r="K54" s="33" t="n">
        <v>24.35</v>
      </c>
      <c r="L54" s="62" t="n">
        <v>0.4595206642762785</v>
      </c>
      <c r="M54" s="63" t="n">
        <v>4</v>
      </c>
      <c r="N54" s="32" t="inlineStr">
        <is>
          <t>Active</t>
        </is>
      </c>
      <c r="O54" s="32" t="n"/>
      <c r="P54" s="64" t="n">
        <v>4.3</v>
      </c>
      <c r="Q54" s="63" t="n">
        <v>20283</v>
      </c>
      <c r="R54" s="63" t="n">
        <v>2554</v>
      </c>
      <c r="S54" s="63"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59" t="n">
        <v>52.99</v>
      </c>
      <c r="H55" s="32" t="inlineStr">
        <is>
          <t>Helium 10 Xray (Amazon.ca, CAD), 2026-10-14</t>
        </is>
      </c>
      <c r="I55" s="60" t="n">
        <v>52.99</v>
      </c>
      <c r="J55" s="61" t="inlineStr">
        <is>
          <t>2026-03-30</t>
        </is>
      </c>
      <c r="K55" s="33" t="n">
        <v>23.81</v>
      </c>
      <c r="L55" s="62" t="n">
        <v>0.449330062275901</v>
      </c>
      <c r="M55" s="63" t="n">
        <v>4</v>
      </c>
      <c r="N55" s="32" t="inlineStr">
        <is>
          <t>Active</t>
        </is>
      </c>
      <c r="O55" s="32" t="n"/>
      <c r="P55" s="64" t="n">
        <v>4.3</v>
      </c>
      <c r="Q55" s="63" t="n">
        <v>20283</v>
      </c>
      <c r="R55" s="63" t="n">
        <v>2554</v>
      </c>
      <c r="S55" s="63"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59" t="n">
        <v>52.99</v>
      </c>
      <c r="H56" s="32" t="inlineStr">
        <is>
          <t>Helium 10 Xray (Amazon.ca, CAD), 2026-10-14</t>
        </is>
      </c>
      <c r="I56" s="60" t="n">
        <v>52.99</v>
      </c>
      <c r="J56" s="61" t="inlineStr">
        <is>
          <t>2026-03-30</t>
        </is>
      </c>
      <c r="K56" s="33" t="n">
        <v>23.9</v>
      </c>
      <c r="L56" s="62" t="n">
        <v>0.4510284959426306</v>
      </c>
      <c r="M56" s="63" t="n">
        <v>4</v>
      </c>
      <c r="N56" s="32" t="inlineStr">
        <is>
          <t>Active</t>
        </is>
      </c>
      <c r="O56" s="32" t="n"/>
      <c r="P56" s="64" t="n">
        <v>4.3</v>
      </c>
      <c r="Q56" s="63" t="n">
        <v>20283</v>
      </c>
      <c r="R56" s="63" t="n">
        <v>2554</v>
      </c>
      <c r="S56" s="63"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59" t="n">
        <v>52.99</v>
      </c>
      <c r="H57" s="32" t="inlineStr">
        <is>
          <t>Helium 10 Xray (Amazon.ca, CAD), 2026-10-14</t>
        </is>
      </c>
      <c r="I57" s="60" t="n">
        <v>52.99</v>
      </c>
      <c r="J57" s="61" t="inlineStr">
        <is>
          <t>2026-03-30</t>
        </is>
      </c>
      <c r="K57" s="33" t="n">
        <v>22.23999999999999</v>
      </c>
      <c r="L57" s="62" t="n">
        <v>0.4197018305340629</v>
      </c>
      <c r="M57" s="63" t="n">
        <v>4</v>
      </c>
      <c r="N57" s="32" t="inlineStr">
        <is>
          <t>Active</t>
        </is>
      </c>
      <c r="O57" s="32" t="n"/>
      <c r="P57" s="64" t="n">
        <v>4.3</v>
      </c>
      <c r="Q57" s="63" t="n">
        <v>20283</v>
      </c>
      <c r="R57" s="63" t="n">
        <v>2554</v>
      </c>
      <c r="S57" s="63"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59" t="n">
        <v>47.99</v>
      </c>
      <c r="H58" s="32" t="inlineStr">
        <is>
          <t>Helium 10 Xray (Amazon.ca, CAD), 2026-10-14</t>
        </is>
      </c>
      <c r="I58" s="60" t="n">
        <v>47.99</v>
      </c>
      <c r="J58" s="61" t="inlineStr">
        <is>
          <t>2026-03-30</t>
        </is>
      </c>
      <c r="K58" s="33" t="n">
        <v>22.26</v>
      </c>
      <c r="L58" s="62" t="n">
        <v>0.4638466347155657</v>
      </c>
      <c r="M58" s="63" t="n">
        <v>4</v>
      </c>
      <c r="N58" s="32" t="inlineStr">
        <is>
          <t>Active</t>
        </is>
      </c>
      <c r="O58" s="32" t="n"/>
      <c r="P58" s="64" t="n">
        <v>4.3</v>
      </c>
      <c r="Q58" s="63" t="n">
        <v>20283</v>
      </c>
      <c r="R58" s="63" t="n">
        <v>2554</v>
      </c>
      <c r="S58" s="63"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59" t="n">
        <v>47.99</v>
      </c>
      <c r="H59" s="32" t="inlineStr">
        <is>
          <t>Helium 10 Xray (Amazon.ca, CAD), 2026-10-14</t>
        </is>
      </c>
      <c r="I59" s="60" t="n">
        <v>47.99</v>
      </c>
      <c r="J59" s="61" t="inlineStr">
        <is>
          <t>2026-03-30</t>
        </is>
      </c>
      <c r="K59" s="33" t="n">
        <v>22.12</v>
      </c>
      <c r="L59" s="62" t="n">
        <v>0.4609293602833923</v>
      </c>
      <c r="M59" s="63" t="n">
        <v>4</v>
      </c>
      <c r="N59" s="32" t="inlineStr">
        <is>
          <t>Active</t>
        </is>
      </c>
      <c r="O59" s="32" t="n"/>
      <c r="P59" s="64" t="n">
        <v>4.3</v>
      </c>
      <c r="Q59" s="63" t="n">
        <v>20283</v>
      </c>
      <c r="R59" s="63" t="n">
        <v>2554</v>
      </c>
      <c r="S59" s="63"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59" t="n">
        <v>39.99</v>
      </c>
      <c r="H60" s="32" t="inlineStr">
        <is>
          <t>Helium 10 Xray (Amazon.ca, CAD), 2026-10-14</t>
        </is>
      </c>
      <c r="I60" s="60" t="n">
        <v>28.79</v>
      </c>
      <c r="J60" s="61" t="inlineStr">
        <is>
          <t>2026-03-30</t>
        </is>
      </c>
      <c r="K60" s="33" t="n">
        <v>8.369999999999997</v>
      </c>
      <c r="L60" s="62" t="n">
        <v>0.2907259465092045</v>
      </c>
      <c r="M60" s="63" t="n">
        <v>4</v>
      </c>
      <c r="N60" s="32" t="inlineStr">
        <is>
          <t>Active</t>
        </is>
      </c>
      <c r="O60" s="32" t="n"/>
      <c r="P60" s="64" t="n">
        <v>4.3</v>
      </c>
      <c r="Q60" s="63" t="n">
        <v>20283</v>
      </c>
      <c r="R60" s="63" t="n">
        <v>2554</v>
      </c>
      <c r="S60" s="63"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59" t="n">
        <v>39.99</v>
      </c>
      <c r="H61" s="32" t="inlineStr">
        <is>
          <t>Helium 10 Xray (Amazon.ca, CAD), 2026-10-14</t>
        </is>
      </c>
      <c r="I61" s="60" t="n">
        <v>39.99</v>
      </c>
      <c r="J61" s="61" t="inlineStr">
        <is>
          <t>2026-03-30</t>
        </is>
      </c>
      <c r="K61" s="33" t="n">
        <v>18.65</v>
      </c>
      <c r="L61" s="62" t="n">
        <v>0.466366591647912</v>
      </c>
      <c r="M61" s="63" t="n">
        <v>4</v>
      </c>
      <c r="N61" s="32" t="inlineStr">
        <is>
          <t>Active</t>
        </is>
      </c>
      <c r="O61" s="32" t="n"/>
      <c r="P61" s="64" t="n">
        <v>4.3</v>
      </c>
      <c r="Q61" s="63" t="n">
        <v>20283</v>
      </c>
      <c r="R61" s="63" t="n">
        <v>2554</v>
      </c>
      <c r="S61" s="63"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59" t="n">
        <v>44.99</v>
      </c>
      <c r="H62" s="32" t="inlineStr">
        <is>
          <t>Helium 10 Xray (Amazon.ca, CAD), 2026-10-14</t>
        </is>
      </c>
      <c r="I62" s="60" t="n">
        <v>32.39</v>
      </c>
      <c r="J62" s="61" t="inlineStr">
        <is>
          <t>2026-03-22</t>
        </is>
      </c>
      <c r="K62" s="33" t="n">
        <v>9.879999999999999</v>
      </c>
      <c r="L62" s="62" t="n">
        <v>0.3050324174127817</v>
      </c>
      <c r="M62" s="63" t="n">
        <v>3</v>
      </c>
      <c r="N62" s="32" t="inlineStr">
        <is>
          <t>Active</t>
        </is>
      </c>
      <c r="O62" s="32" t="n"/>
      <c r="P62" s="64" t="n">
        <v>4.3</v>
      </c>
      <c r="Q62" s="63" t="n">
        <v>20283</v>
      </c>
      <c r="R62" s="63" t="n">
        <v>2554</v>
      </c>
      <c r="S62" s="63"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59" t="n">
        <v>44.99</v>
      </c>
      <c r="H63" s="32" t="inlineStr">
        <is>
          <t>Helium 10 Xray (Amazon.ca, CAD), 2026-10-14</t>
        </is>
      </c>
      <c r="I63" s="60" t="n">
        <v>44.99</v>
      </c>
      <c r="J63" s="61" t="inlineStr">
        <is>
          <t>2026-03-30</t>
        </is>
      </c>
      <c r="K63" s="33" t="n">
        <v>20.57</v>
      </c>
      <c r="L63" s="62" t="n">
        <v>0.4572127139364303</v>
      </c>
      <c r="M63" s="63" t="n">
        <v>3</v>
      </c>
      <c r="N63" s="32" t="inlineStr">
        <is>
          <t>Active</t>
        </is>
      </c>
      <c r="O63" s="32" t="n"/>
      <c r="P63" s="64" t="n">
        <v>4.3</v>
      </c>
      <c r="Q63" s="63" t="n">
        <v>20283</v>
      </c>
      <c r="R63" s="63" t="n">
        <v>2554</v>
      </c>
      <c r="S63" s="63"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59" t="n">
        <v>52.99</v>
      </c>
      <c r="H64" s="32" t="inlineStr">
        <is>
          <t>Helium 10 Xray (Amazon.ca, CAD), 2026-10-14</t>
        </is>
      </c>
      <c r="I64" s="60" t="n">
        <v>63.26</v>
      </c>
      <c r="J64" s="61" t="inlineStr">
        <is>
          <t>2026-03-30</t>
        </is>
      </c>
      <c r="K64" s="33" t="n">
        <v>26.67</v>
      </c>
      <c r="L64" s="62" t="n">
        <v>0.4215934239645905</v>
      </c>
      <c r="M64" s="63" t="n">
        <v>3</v>
      </c>
      <c r="N64" s="32" t="inlineStr">
        <is>
          <t>Active</t>
        </is>
      </c>
      <c r="O64" s="32" t="n"/>
      <c r="P64" s="64" t="n">
        <v>4.3</v>
      </c>
      <c r="Q64" s="63" t="n">
        <v>20283</v>
      </c>
      <c r="R64" s="63" t="n">
        <v>2554</v>
      </c>
      <c r="S64" s="63"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59" t="n">
        <v>52.99</v>
      </c>
      <c r="H65" s="32" t="inlineStr">
        <is>
          <t>Helium 10 Xray (Amazon.ca, CAD), 2026-10-14</t>
        </is>
      </c>
      <c r="I65" s="60" t="n">
        <v>52.99</v>
      </c>
      <c r="J65" s="61" t="inlineStr">
        <is>
          <t>2026-03-30</t>
        </is>
      </c>
      <c r="K65" s="33" t="n">
        <v>23.23</v>
      </c>
      <c r="L65" s="62" t="n">
        <v>0.4383846008680884</v>
      </c>
      <c r="M65" s="63" t="n">
        <v>3</v>
      </c>
      <c r="N65" s="32" t="inlineStr">
        <is>
          <t>Active</t>
        </is>
      </c>
      <c r="O65" s="32" t="n"/>
      <c r="P65" s="64" t="n">
        <v>4.3</v>
      </c>
      <c r="Q65" s="63" t="n">
        <v>20283</v>
      </c>
      <c r="R65" s="63" t="n">
        <v>2554</v>
      </c>
      <c r="S65" s="63"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59" t="n">
        <v>52.99</v>
      </c>
      <c r="H66" s="32" t="inlineStr">
        <is>
          <t>Helium 10 Xray (Amazon.ca, CAD), 2026-10-14</t>
        </is>
      </c>
      <c r="I66" s="60" t="n">
        <v>52.99</v>
      </c>
      <c r="J66" s="61" t="inlineStr">
        <is>
          <t>2026-03-30</t>
        </is>
      </c>
      <c r="K66" s="33" t="n">
        <v>23.8</v>
      </c>
      <c r="L66" s="62" t="n">
        <v>0.4491413474240422</v>
      </c>
      <c r="M66" s="63" t="n">
        <v>3</v>
      </c>
      <c r="N66" s="32" t="inlineStr">
        <is>
          <t>Active</t>
        </is>
      </c>
      <c r="O66" s="32" t="n"/>
      <c r="P66" s="64" t="n">
        <v>4.3</v>
      </c>
      <c r="Q66" s="63" t="n">
        <v>20283</v>
      </c>
      <c r="R66" s="63" t="n">
        <v>2554</v>
      </c>
      <c r="S66" s="63"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59" t="n">
        <v>52.99</v>
      </c>
      <c r="H67" s="32" t="inlineStr">
        <is>
          <t>Helium 10 Xray (Amazon.ca, CAD), 2026-10-14</t>
        </is>
      </c>
      <c r="I67" s="60" t="n">
        <v>52.99</v>
      </c>
      <c r="J67" s="61" t="inlineStr">
        <is>
          <t>2026-03-30</t>
        </is>
      </c>
      <c r="K67" s="33" t="n">
        <v>22.92</v>
      </c>
      <c r="L67" s="62" t="n">
        <v>0.4325344404604642</v>
      </c>
      <c r="M67" s="63" t="n">
        <v>3</v>
      </c>
      <c r="N67" s="32" t="inlineStr">
        <is>
          <t>Active</t>
        </is>
      </c>
      <c r="O67" s="32" t="n"/>
      <c r="P67" s="64" t="n">
        <v>4.3</v>
      </c>
      <c r="Q67" s="63" t="n">
        <v>20283</v>
      </c>
      <c r="R67" s="63" t="n">
        <v>2554</v>
      </c>
      <c r="S67" s="63"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59" t="n">
        <v>62.91</v>
      </c>
      <c r="H68" s="32" t="inlineStr">
        <is>
          <t>Helium 10 Xray (Amazon.ca, CAD), 2026-10-14</t>
        </is>
      </c>
      <c r="I68" s="60" t="n">
        <v>52.99</v>
      </c>
      <c r="J68" s="61" t="inlineStr">
        <is>
          <t>2026-03-30</t>
        </is>
      </c>
      <c r="K68" s="33" t="n">
        <v>22.21</v>
      </c>
      <c r="L68" s="62" t="n">
        <v>0.4191356859784865</v>
      </c>
      <c r="M68" s="63" t="n">
        <v>3</v>
      </c>
      <c r="N68" s="32" t="inlineStr">
        <is>
          <t>Inactive</t>
        </is>
      </c>
      <c r="O68" s="32" t="n"/>
      <c r="P68" s="64" t="n">
        <v>4.3</v>
      </c>
      <c r="Q68" s="63" t="n">
        <v>20283</v>
      </c>
      <c r="R68" s="63" t="n">
        <v>2554</v>
      </c>
      <c r="S68" s="63"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59" t="n">
        <v>52.99</v>
      </c>
      <c r="H69" s="32" t="inlineStr">
        <is>
          <t>Helium 10 Xray (Amazon.ca, CAD), 2026-10-14</t>
        </is>
      </c>
      <c r="I69" s="60" t="n">
        <v>52.99</v>
      </c>
      <c r="J69" s="61" t="inlineStr">
        <is>
          <t>2026-03-30</t>
        </is>
      </c>
      <c r="K69" s="33" t="n">
        <v>23.46</v>
      </c>
      <c r="L69" s="62" t="n">
        <v>0.4427250424608416</v>
      </c>
      <c r="M69" s="63" t="n">
        <v>3</v>
      </c>
      <c r="N69" s="32" t="inlineStr">
        <is>
          <t>Active</t>
        </is>
      </c>
      <c r="O69" s="32" t="n"/>
      <c r="P69" s="64" t="n">
        <v>4.3</v>
      </c>
      <c r="Q69" s="63" t="n">
        <v>20283</v>
      </c>
      <c r="R69" s="63" t="n">
        <v>2554</v>
      </c>
      <c r="S69" s="63"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59" t="n">
        <v>44.99</v>
      </c>
      <c r="H70" s="32" t="inlineStr">
        <is>
          <t>Helium 10 Xray (Amazon.ca, CAD), 2026-10-14</t>
        </is>
      </c>
      <c r="I70" s="60" t="n">
        <v>44.99</v>
      </c>
      <c r="J70" s="61" t="inlineStr">
        <is>
          <t>2026-03-30</t>
        </is>
      </c>
      <c r="K70" s="33" t="n">
        <v>20.73</v>
      </c>
      <c r="L70" s="62" t="n">
        <v>0.4607690597910648</v>
      </c>
      <c r="M70" s="63" t="n">
        <v>2</v>
      </c>
      <c r="N70" s="32" t="inlineStr">
        <is>
          <t>Active</t>
        </is>
      </c>
      <c r="O70" s="32" t="n"/>
      <c r="P70" s="64" t="n">
        <v>4.3</v>
      </c>
      <c r="Q70" s="63" t="n">
        <v>20283</v>
      </c>
      <c r="R70" s="63" t="n">
        <v>2554</v>
      </c>
      <c r="S70" s="63"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59" t="n">
        <v>44.99</v>
      </c>
      <c r="H71" s="32" t="inlineStr">
        <is>
          <t>Helium 10 Xray (Amazon.ca, CAD), 2026-10-14</t>
        </is>
      </c>
      <c r="I71" s="60" t="n">
        <v>53.82</v>
      </c>
      <c r="J71" s="61" t="inlineStr">
        <is>
          <t>2026-03-30</t>
        </is>
      </c>
      <c r="K71" s="33" t="n">
        <v>22.92</v>
      </c>
      <c r="L71" s="62" t="n">
        <v>0.4258639910813824</v>
      </c>
      <c r="M71" s="63" t="n">
        <v>2</v>
      </c>
      <c r="N71" s="32" t="inlineStr">
        <is>
          <t>Active</t>
        </is>
      </c>
      <c r="O71" s="32" t="n"/>
      <c r="P71" s="64" t="n">
        <v>4.3</v>
      </c>
      <c r="Q71" s="63" t="n">
        <v>20283</v>
      </c>
      <c r="R71" s="63" t="n">
        <v>2554</v>
      </c>
      <c r="S71" s="63"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59" t="n">
        <v>44.99</v>
      </c>
      <c r="H72" s="32" t="inlineStr">
        <is>
          <t>Helium 10 Xray (Amazon.ca, CAD), 2026-10-14</t>
        </is>
      </c>
      <c r="I72" s="60" t="n">
        <v>44.99</v>
      </c>
      <c r="J72" s="61" t="inlineStr">
        <is>
          <t>2026-03-30</t>
        </is>
      </c>
      <c r="K72" s="33" t="n">
        <v>19.15</v>
      </c>
      <c r="L72" s="62" t="n">
        <v>0.4256501444765504</v>
      </c>
      <c r="M72" s="63" t="n">
        <v>2</v>
      </c>
      <c r="N72" s="32" t="inlineStr">
        <is>
          <t>Active</t>
        </is>
      </c>
      <c r="O72" s="32" t="n"/>
      <c r="P72" s="64" t="n">
        <v>4.3</v>
      </c>
      <c r="Q72" s="63" t="n">
        <v>20283</v>
      </c>
      <c r="R72" s="63" t="n">
        <v>2554</v>
      </c>
      <c r="S72" s="63"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59" t="n">
        <v>44.99</v>
      </c>
      <c r="H73" s="32" t="inlineStr">
        <is>
          <t>Helium 10 Xray (Amazon.ca, CAD), 2026-10-14</t>
        </is>
      </c>
      <c r="I73" s="60" t="n">
        <v>26.09</v>
      </c>
      <c r="J73" s="61" t="inlineStr">
        <is>
          <t>2026-03-30</t>
        </is>
      </c>
      <c r="K73" s="33" t="n">
        <v>3.09</v>
      </c>
      <c r="L73" s="62" t="n">
        <v>0.1184361824453814</v>
      </c>
      <c r="M73" s="63" t="n">
        <v>2</v>
      </c>
      <c r="N73" s="32" t="inlineStr">
        <is>
          <t>Active</t>
        </is>
      </c>
      <c r="O73" s="32" t="n"/>
      <c r="P73" s="64" t="n">
        <v>4.3</v>
      </c>
      <c r="Q73" s="63" t="n">
        <v>20283</v>
      </c>
      <c r="R73" s="63" t="n">
        <v>2554</v>
      </c>
      <c r="S73" s="63"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59" t="n">
        <v>44.99</v>
      </c>
      <c r="H74" s="32" t="inlineStr">
        <is>
          <t>Helium 10 Xray (Amazon.ca, CAD), 2026-10-14</t>
        </is>
      </c>
      <c r="I74" s="60" t="n">
        <v>44.99</v>
      </c>
      <c r="J74" s="61" t="inlineStr">
        <is>
          <t>2026-03-30</t>
        </is>
      </c>
      <c r="K74" s="33" t="n">
        <v>19.15</v>
      </c>
      <c r="L74" s="62" t="n">
        <v>0.4256501444765504</v>
      </c>
      <c r="M74" s="63" t="n">
        <v>2</v>
      </c>
      <c r="N74" s="32" t="inlineStr">
        <is>
          <t>Active</t>
        </is>
      </c>
      <c r="O74" s="32" t="n"/>
      <c r="P74" s="64" t="n">
        <v>4.3</v>
      </c>
      <c r="Q74" s="63" t="n">
        <v>20283</v>
      </c>
      <c r="R74" s="63" t="n">
        <v>2554</v>
      </c>
      <c r="S74" s="63"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59" t="n">
        <v>52.99</v>
      </c>
      <c r="H75" s="32" t="inlineStr">
        <is>
          <t>Helium 10 Xray (Amazon.ca, CAD), 2026-10-14</t>
        </is>
      </c>
      <c r="I75" s="60" t="n">
        <v>52.99</v>
      </c>
      <c r="J75" s="61" t="inlineStr">
        <is>
          <t>2026-03-30</t>
        </is>
      </c>
      <c r="K75" s="33" t="n">
        <v>23.95</v>
      </c>
      <c r="L75" s="62" t="n">
        <v>0.4519720702019248</v>
      </c>
      <c r="M75" s="63" t="n">
        <v>2</v>
      </c>
      <c r="N75" s="32" t="inlineStr">
        <is>
          <t>Active</t>
        </is>
      </c>
      <c r="O75" s="32" t="n"/>
      <c r="P75" s="64" t="n">
        <v>4.3</v>
      </c>
      <c r="Q75" s="63" t="n">
        <v>20283</v>
      </c>
      <c r="R75" s="63" t="n">
        <v>2554</v>
      </c>
      <c r="S75" s="63"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0" t="n">
        <v>57.58</v>
      </c>
      <c r="J76" s="61" t="inlineStr">
        <is>
          <t>2026-03-28</t>
        </is>
      </c>
      <c r="K76" s="33" t="n">
        <v>23.22</v>
      </c>
      <c r="L76" s="62" t="n">
        <v>0.4032650225772837</v>
      </c>
      <c r="M76" s="63" t="n">
        <v>2</v>
      </c>
      <c r="N76" s="65" t="inlineStr">
        <is>
          <t>Not buyable on Amazon 2026-10-14: page redirects to B0CQRX2Z2G (Full Dark Green) - FBA stock 0 since 2026-10-03, nothing inbound (DataHub 2026-10-14)</t>
        </is>
      </c>
      <c r="O76" s="32" t="n"/>
      <c r="P76" s="64" t="n"/>
      <c r="Q76" s="63" t="n"/>
      <c r="R76" s="63" t="n"/>
      <c r="S76" s="63"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59" t="n">
        <v>47.99</v>
      </c>
      <c r="H77" s="32" t="inlineStr">
        <is>
          <t>Helium 10 Xray (Amazon.ca, CAD), 2026-10-14</t>
        </is>
      </c>
      <c r="I77" s="60" t="n">
        <v>47.99</v>
      </c>
      <c r="J77" s="61" t="inlineStr">
        <is>
          <t>2026-03-30</t>
        </is>
      </c>
      <c r="K77" s="33" t="n">
        <v>21</v>
      </c>
      <c r="L77" s="62" t="n">
        <v>0.4375911648260054</v>
      </c>
      <c r="M77" s="63" t="n">
        <v>2</v>
      </c>
      <c r="N77" s="32" t="inlineStr">
        <is>
          <t>Active</t>
        </is>
      </c>
      <c r="O77" s="32" t="n"/>
      <c r="P77" s="64" t="n">
        <v>4.3</v>
      </c>
      <c r="Q77" s="63" t="n">
        <v>20283</v>
      </c>
      <c r="R77" s="63" t="n">
        <v>2554</v>
      </c>
      <c r="S77" s="63"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59" t="n">
        <v>47.99</v>
      </c>
      <c r="H78" s="32" t="inlineStr">
        <is>
          <t>Helium 10 Xray (Amazon.ca, CAD), 2026-10-14</t>
        </is>
      </c>
      <c r="I78" s="60" t="n">
        <v>47.99</v>
      </c>
      <c r="J78" s="61" t="inlineStr">
        <is>
          <t>2026-03-30</t>
        </is>
      </c>
      <c r="K78" s="33" t="n">
        <v>21.61</v>
      </c>
      <c r="L78" s="62" t="n">
        <v>0.450302146280475</v>
      </c>
      <c r="M78" s="63" t="n">
        <v>2</v>
      </c>
      <c r="N78" s="32" t="inlineStr">
        <is>
          <t>Active</t>
        </is>
      </c>
      <c r="O78" s="32" t="n"/>
      <c r="P78" s="64" t="n">
        <v>4.3</v>
      </c>
      <c r="Q78" s="63" t="n">
        <v>20283</v>
      </c>
      <c r="R78" s="63" t="n">
        <v>2554</v>
      </c>
      <c r="S78" s="63"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59" t="n">
        <v>39.99</v>
      </c>
      <c r="H79" s="32" t="inlineStr">
        <is>
          <t>Helium 10 Xray (Amazon.ca, CAD), 2026-10-14</t>
        </is>
      </c>
      <c r="I79" s="60" t="n">
        <v>39.99</v>
      </c>
      <c r="J79" s="61" t="inlineStr">
        <is>
          <t>2026-03-30</t>
        </is>
      </c>
      <c r="K79" s="33" t="n">
        <v>18.26</v>
      </c>
      <c r="L79" s="62" t="n">
        <v>0.4566141535383846</v>
      </c>
      <c r="M79" s="63" t="n">
        <v>2</v>
      </c>
      <c r="N79" s="32" t="inlineStr">
        <is>
          <t>Active</t>
        </is>
      </c>
      <c r="O79" s="32" t="n"/>
      <c r="P79" s="64" t="n">
        <v>4.3</v>
      </c>
      <c r="Q79" s="63" t="n">
        <v>20283</v>
      </c>
      <c r="R79" s="63" t="n">
        <v>2554</v>
      </c>
      <c r="S79" s="63"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59" t="n">
        <v>49.13</v>
      </c>
      <c r="H80" s="32" t="inlineStr">
        <is>
          <t>Helium 10 Xray (Amazon.ca, CAD), 2026-10-14</t>
        </is>
      </c>
      <c r="I80" s="60" t="n">
        <v>31.99</v>
      </c>
      <c r="J80" s="61" t="inlineStr">
        <is>
          <t>2026-03-30</t>
        </is>
      </c>
      <c r="K80" s="33" t="n">
        <v>11.49</v>
      </c>
      <c r="L80" s="62" t="n">
        <v>0.3591747421069084</v>
      </c>
      <c r="M80" s="63" t="n">
        <v>2</v>
      </c>
      <c r="N80" s="32" t="inlineStr">
        <is>
          <t>Active</t>
        </is>
      </c>
      <c r="O80" s="32" t="n"/>
      <c r="P80" s="64" t="n">
        <v>4.3</v>
      </c>
      <c r="Q80" s="63" t="n">
        <v>20283</v>
      </c>
      <c r="R80" s="63" t="n">
        <v>2554</v>
      </c>
      <c r="S80" s="63"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59" t="n">
        <v>39.99</v>
      </c>
      <c r="H81" s="32" t="inlineStr">
        <is>
          <t>Helium 10 Xray (Amazon.ca, CAD), 2026-10-14</t>
        </is>
      </c>
      <c r="I81" s="60" t="n">
        <v>48.3</v>
      </c>
      <c r="J81" s="61" t="inlineStr">
        <is>
          <t>2026-03-30</t>
        </is>
      </c>
      <c r="K81" s="33" t="n">
        <v>19.68</v>
      </c>
      <c r="L81" s="62" t="n">
        <v>0.4074534161490683</v>
      </c>
      <c r="M81" s="63" t="n">
        <v>2</v>
      </c>
      <c r="N81" s="32" t="inlineStr">
        <is>
          <t>Active</t>
        </is>
      </c>
      <c r="O81" s="32" t="n"/>
      <c r="P81" s="64" t="n">
        <v>4.3</v>
      </c>
      <c r="Q81" s="63" t="n">
        <v>20283</v>
      </c>
      <c r="R81" s="63" t="n">
        <v>2554</v>
      </c>
      <c r="S81" s="63"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59" t="n">
        <v>44.99</v>
      </c>
      <c r="H82" s="32" t="inlineStr">
        <is>
          <t>Helium 10 Xray (Amazon.ca, CAD), 2026-10-14</t>
        </is>
      </c>
      <c r="I82" s="60" t="n">
        <v>53.88</v>
      </c>
      <c r="J82" s="61" t="inlineStr">
        <is>
          <t>2026-03-30</t>
        </is>
      </c>
      <c r="K82" s="33" t="n">
        <v>21.90000000000001</v>
      </c>
      <c r="L82" s="62" t="n">
        <v>0.4064587973273943</v>
      </c>
      <c r="M82" s="63" t="n">
        <v>1</v>
      </c>
      <c r="N82" s="32" t="inlineStr">
        <is>
          <t>Active</t>
        </is>
      </c>
      <c r="O82" s="32" t="n"/>
      <c r="P82" s="64" t="n">
        <v>4.3</v>
      </c>
      <c r="Q82" s="63" t="n">
        <v>20283</v>
      </c>
      <c r="R82" s="63" t="n">
        <v>2554</v>
      </c>
      <c r="S82" s="63"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59" t="n">
        <v>44.99</v>
      </c>
      <c r="H83" s="32" t="inlineStr">
        <is>
          <t>Helium 10 Xray (Amazon.ca, CAD), 2026-10-14</t>
        </is>
      </c>
      <c r="I83" s="60" t="n">
        <v>44.99</v>
      </c>
      <c r="J83" s="61" t="inlineStr">
        <is>
          <t>2026-03-30</t>
        </is>
      </c>
      <c r="K83" s="33" t="n">
        <v>19.94</v>
      </c>
      <c r="L83" s="62" t="n">
        <v>0.4432096021338075</v>
      </c>
      <c r="M83" s="63" t="n">
        <v>1</v>
      </c>
      <c r="N83" s="32" t="inlineStr">
        <is>
          <t>Active</t>
        </is>
      </c>
      <c r="O83" s="32" t="n"/>
      <c r="P83" s="64" t="n">
        <v>4.3</v>
      </c>
      <c r="Q83" s="63" t="n">
        <v>20283</v>
      </c>
      <c r="R83" s="63" t="n">
        <v>2554</v>
      </c>
      <c r="S83" s="63"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59" t="n">
        <v>44.99</v>
      </c>
      <c r="H84" s="32" t="inlineStr">
        <is>
          <t>Helium 10 Xray (Amazon.ca, CAD), 2026-10-14</t>
        </is>
      </c>
      <c r="I84" s="60" t="n">
        <v>44.99</v>
      </c>
      <c r="J84" s="61" t="inlineStr">
        <is>
          <t>2026-03-30</t>
        </is>
      </c>
      <c r="K84" s="33" t="n">
        <v>20.65</v>
      </c>
      <c r="L84" s="62" t="n">
        <v>0.4589908868637476</v>
      </c>
      <c r="M84" s="63" t="n">
        <v>1</v>
      </c>
      <c r="N84" s="32" t="inlineStr">
        <is>
          <t>Active</t>
        </is>
      </c>
      <c r="O84" s="32" t="n"/>
      <c r="P84" s="64" t="n">
        <v>4.3</v>
      </c>
      <c r="Q84" s="63" t="n">
        <v>20283</v>
      </c>
      <c r="R84" s="63" t="n">
        <v>2554</v>
      </c>
      <c r="S84" s="63"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0" t="n">
        <v>40.96</v>
      </c>
      <c r="J85" s="61" t="inlineStr">
        <is>
          <t>2026-03-30</t>
        </is>
      </c>
      <c r="K85" s="33" t="n">
        <v>17.25</v>
      </c>
      <c r="L85" s="62" t="n">
        <v>0.421142578125</v>
      </c>
      <c r="M85" s="63" t="n">
        <v>1</v>
      </c>
      <c r="N85" s="65" t="inlineStr">
        <is>
          <t>No Buy Box on Amazon 2026-10-14 (page says 'Price higher than typical') - 146 units in FBA stock, so not a stock-out: offer / listing issue (DataHub 2026-10-14)</t>
        </is>
      </c>
      <c r="O85" s="32" t="n"/>
      <c r="P85" s="64" t="n"/>
      <c r="Q85" s="63" t="n"/>
      <c r="R85" s="63" t="n"/>
      <c r="S85" s="63"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59" t="n">
        <v>44.99</v>
      </c>
      <c r="H86" s="32" t="inlineStr">
        <is>
          <t>Helium 10 Xray (Amazon.ca, CAD), 2026-10-14</t>
        </is>
      </c>
      <c r="I86" s="60" t="n">
        <v>44.99</v>
      </c>
      <c r="J86" s="61" t="inlineStr">
        <is>
          <t>2026-03-30</t>
        </is>
      </c>
      <c r="K86" s="33" t="n">
        <v>19.4</v>
      </c>
      <c r="L86" s="62" t="n">
        <v>0.4312069348744166</v>
      </c>
      <c r="M86" s="63" t="n">
        <v>1</v>
      </c>
      <c r="N86" s="32" t="inlineStr">
        <is>
          <t>Active</t>
        </is>
      </c>
      <c r="O86" s="32" t="n"/>
      <c r="P86" s="64" t="n">
        <v>4.3</v>
      </c>
      <c r="Q86" s="63" t="n">
        <v>20283</v>
      </c>
      <c r="R86" s="63" t="n">
        <v>2554</v>
      </c>
      <c r="S86" s="63"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59" t="n">
        <v>52.99</v>
      </c>
      <c r="H87" s="32" t="inlineStr">
        <is>
          <t>Helium 10 Xray (Amazon.ca, CAD), 2026-10-14</t>
        </is>
      </c>
      <c r="I87" s="60" t="n">
        <v>52.99</v>
      </c>
      <c r="J87" s="61" t="inlineStr">
        <is>
          <t>2026-03-12</t>
        </is>
      </c>
      <c r="K87" s="33" t="n">
        <v>23.8</v>
      </c>
      <c r="L87" s="62" t="n">
        <v>0.4491413474240422</v>
      </c>
      <c r="M87" s="63" t="n">
        <v>1</v>
      </c>
      <c r="N87" s="32" t="inlineStr">
        <is>
          <t>Active</t>
        </is>
      </c>
      <c r="O87" s="32" t="n"/>
      <c r="P87" s="64" t="n">
        <v>4.3</v>
      </c>
      <c r="Q87" s="63" t="n">
        <v>20283</v>
      </c>
      <c r="R87" s="63" t="n">
        <v>2554</v>
      </c>
      <c r="S87" s="63"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59" t="n">
        <v>58.96</v>
      </c>
      <c r="H88" s="32" t="inlineStr">
        <is>
          <t>Helium 10 Xray (Amazon.ca, CAD), 2026-10-14</t>
        </is>
      </c>
      <c r="I88" s="60" t="n">
        <v>57.01</v>
      </c>
      <c r="J88" s="61" t="inlineStr">
        <is>
          <t>2026-03-04</t>
        </is>
      </c>
      <c r="K88" s="33" t="n"/>
      <c r="L88" s="62" t="n"/>
      <c r="M88" s="63" t="n">
        <v>1</v>
      </c>
      <c r="N88" s="32" t="inlineStr">
        <is>
          <t>Active</t>
        </is>
      </c>
      <c r="O88" s="32" t="n"/>
      <c r="P88" s="64" t="n">
        <v>4.3</v>
      </c>
      <c r="Q88" s="63" t="n">
        <v>20283</v>
      </c>
      <c r="R88" s="63" t="n">
        <v>2554</v>
      </c>
      <c r="S88" s="63"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59" t="n">
        <v>47.99</v>
      </c>
      <c r="H89" s="32" t="inlineStr">
        <is>
          <t>Helium 10 Xray (Amazon.ca, CAD), 2026-10-14</t>
        </is>
      </c>
      <c r="I89" s="60" t="n">
        <v>56.95</v>
      </c>
      <c r="J89" s="61" t="inlineStr">
        <is>
          <t>2026-03-30</t>
        </is>
      </c>
      <c r="K89" s="33" t="n">
        <v>23.26000000000001</v>
      </c>
      <c r="L89" s="62" t="n">
        <v>0.4084284460052678</v>
      </c>
      <c r="M89" s="63" t="n">
        <v>1</v>
      </c>
      <c r="N89" s="32" t="inlineStr">
        <is>
          <t>Active</t>
        </is>
      </c>
      <c r="O89" s="32" t="n"/>
      <c r="P89" s="64" t="n">
        <v>4.3</v>
      </c>
      <c r="Q89" s="63" t="n">
        <v>20283</v>
      </c>
      <c r="R89" s="63" t="n">
        <v>2554</v>
      </c>
      <c r="S89" s="63"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59" t="n">
        <v>39.99</v>
      </c>
      <c r="H90" s="32" t="inlineStr">
        <is>
          <t>Helium 10 Xray (Amazon.ca, CAD), 2026-10-14</t>
        </is>
      </c>
      <c r="I90" s="60" t="n">
        <v>48.06</v>
      </c>
      <c r="J90" s="61" t="inlineStr">
        <is>
          <t>2026-03-30</t>
        </is>
      </c>
      <c r="K90" s="33" t="n">
        <v>18.75</v>
      </c>
      <c r="L90" s="62" t="n">
        <v>0.3901373283395755</v>
      </c>
      <c r="M90" s="63" t="n">
        <v>1</v>
      </c>
      <c r="N90" s="32" t="inlineStr">
        <is>
          <t>Active</t>
        </is>
      </c>
      <c r="O90" s="32" t="n"/>
      <c r="P90" s="64" t="n">
        <v>4.3</v>
      </c>
      <c r="Q90" s="63" t="n">
        <v>20283</v>
      </c>
      <c r="R90" s="63" t="n">
        <v>2554</v>
      </c>
      <c r="S90" s="63"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59" t="n">
        <v>39.99</v>
      </c>
      <c r="H91" s="32" t="inlineStr">
        <is>
          <t>Helium 10 Xray (Amazon.ca, CAD), 2026-10-14</t>
        </is>
      </c>
      <c r="I91" s="60" t="n">
        <v>49.34</v>
      </c>
      <c r="J91" s="61" t="inlineStr">
        <is>
          <t>2026-03-30</t>
        </is>
      </c>
      <c r="K91" s="33" t="n">
        <v>18.60000000000001</v>
      </c>
      <c r="L91" s="62" t="n">
        <v>0.3769760843129308</v>
      </c>
      <c r="M91" s="63" t="n">
        <v>1</v>
      </c>
      <c r="N91" s="32" t="inlineStr">
        <is>
          <t>Active</t>
        </is>
      </c>
      <c r="O91" s="32" t="n"/>
      <c r="P91" s="64" t="n">
        <v>4.3</v>
      </c>
      <c r="Q91" s="63" t="n">
        <v>20283</v>
      </c>
      <c r="R91" s="63" t="n">
        <v>2554</v>
      </c>
      <c r="S91" s="63"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59" t="n">
        <v>39.99</v>
      </c>
      <c r="H92" s="32" t="inlineStr">
        <is>
          <t>Helium 10 Xray (Amazon.ca, CAD), 2026-10-14</t>
        </is>
      </c>
      <c r="I92" s="60" t="n">
        <v>39.99</v>
      </c>
      <c r="J92" s="61" t="inlineStr">
        <is>
          <t>2026-03-30</t>
        </is>
      </c>
      <c r="K92" s="33" t="n">
        <v>18.28</v>
      </c>
      <c r="L92" s="62" t="n">
        <v>0.4571142785696424</v>
      </c>
      <c r="M92" s="63" t="n">
        <v>1</v>
      </c>
      <c r="N92" s="32" t="inlineStr">
        <is>
          <t>Active</t>
        </is>
      </c>
      <c r="O92" s="32" t="n"/>
      <c r="P92" s="64" t="n">
        <v>4.3</v>
      </c>
      <c r="Q92" s="63" t="n">
        <v>20283</v>
      </c>
      <c r="R92" s="63" t="n">
        <v>2554</v>
      </c>
      <c r="S92" s="63"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59" t="n">
        <v>54.01</v>
      </c>
      <c r="H93" s="32" t="inlineStr">
        <is>
          <t>Helium 10 Xray (Amazon.ca, CAD), 2026-10-14</t>
        </is>
      </c>
      <c r="I93" s="60" t="n">
        <v>39.99</v>
      </c>
      <c r="J93" s="61" t="inlineStr">
        <is>
          <t>2026-03-30</t>
        </is>
      </c>
      <c r="K93" s="33" t="n">
        <v>17.46</v>
      </c>
      <c r="L93" s="62" t="n">
        <v>0.4366091522880721</v>
      </c>
      <c r="M93" s="63" t="n">
        <v>1</v>
      </c>
      <c r="N93" s="32" t="inlineStr">
        <is>
          <t>Inactive</t>
        </is>
      </c>
      <c r="O93" s="32" t="n"/>
      <c r="P93" s="64" t="n">
        <v>4.3</v>
      </c>
      <c r="Q93" s="63" t="n">
        <v>20283</v>
      </c>
      <c r="R93" s="63" t="n">
        <v>2554</v>
      </c>
      <c r="S93" s="63"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59" t="n">
        <v>49.13</v>
      </c>
      <c r="H94" s="32" t="inlineStr">
        <is>
          <t>Helium 10 Xray (Amazon.ca, CAD), 2026-10-14</t>
        </is>
      </c>
      <c r="I94" s="60" t="n">
        <v>39.99</v>
      </c>
      <c r="J94" s="61" t="inlineStr">
        <is>
          <t>2026-03-30</t>
        </is>
      </c>
      <c r="K94" s="33" t="n">
        <v>18.59</v>
      </c>
      <c r="L94" s="62" t="n">
        <v>0.4648662165541386</v>
      </c>
      <c r="M94" s="63" t="n">
        <v>1</v>
      </c>
      <c r="N94" s="32" t="inlineStr">
        <is>
          <t>Active</t>
        </is>
      </c>
      <c r="O94" s="32" t="n"/>
      <c r="P94" s="64" t="n">
        <v>4.3</v>
      </c>
      <c r="Q94" s="63" t="n">
        <v>20283</v>
      </c>
      <c r="R94" s="63" t="n">
        <v>2554</v>
      </c>
      <c r="S94" s="63"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59" t="n">
        <v>49.13</v>
      </c>
      <c r="H95" s="32" t="inlineStr">
        <is>
          <t>Helium 10 Xray (Amazon.ca, CAD), 2026-10-14</t>
        </is>
      </c>
      <c r="I95" s="60" t="n">
        <v>28.86</v>
      </c>
      <c r="J95" s="61" t="inlineStr">
        <is>
          <t>2026-03-22</t>
        </is>
      </c>
      <c r="K95" s="33" t="n">
        <v>8.77</v>
      </c>
      <c r="L95" s="62" t="n">
        <v>0.3038808038808039</v>
      </c>
      <c r="M95" s="63" t="n">
        <v>1</v>
      </c>
      <c r="N95" s="32" t="inlineStr">
        <is>
          <t>Active</t>
        </is>
      </c>
      <c r="O95" s="32" t="n"/>
      <c r="P95" s="64" t="n">
        <v>4.3</v>
      </c>
      <c r="Q95" s="63" t="n">
        <v>20283</v>
      </c>
      <c r="R95" s="63" t="n">
        <v>2554</v>
      </c>
      <c r="S95" s="63"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59" t="n">
        <v>39.99</v>
      </c>
      <c r="H96" s="32" t="inlineStr">
        <is>
          <t>Helium 10 Xray (Amazon.ca, CAD), 2026-10-14</t>
        </is>
      </c>
      <c r="I96" s="60" t="n">
        <v>39.99</v>
      </c>
      <c r="J96" s="61" t="inlineStr">
        <is>
          <t>2026-03-30</t>
        </is>
      </c>
      <c r="K96" s="33" t="n">
        <v>17.93</v>
      </c>
      <c r="L96" s="62" t="n">
        <v>0.4483620905226307</v>
      </c>
      <c r="M96" s="63" t="n">
        <v>1</v>
      </c>
      <c r="N96" s="32" t="inlineStr">
        <is>
          <t>Active</t>
        </is>
      </c>
      <c r="O96" s="32" t="n"/>
      <c r="P96" s="64" t="n">
        <v>4.3</v>
      </c>
      <c r="Q96" s="63" t="n">
        <v>20283</v>
      </c>
      <c r="R96" s="63" t="n">
        <v>2554</v>
      </c>
      <c r="S96" s="63"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59" t="n">
        <v>39.99</v>
      </c>
      <c r="H97" s="32" t="inlineStr">
        <is>
          <t>Helium 10 Xray (Amazon.ca, CAD), 2026-10-14</t>
        </is>
      </c>
      <c r="I97" s="60" t="n">
        <v>39.99</v>
      </c>
      <c r="J97" s="61" t="inlineStr">
        <is>
          <t>2026-03-30</t>
        </is>
      </c>
      <c r="K97" s="33" t="n">
        <v>18.18</v>
      </c>
      <c r="L97" s="62" t="n">
        <v>0.4546136534133535</v>
      </c>
      <c r="M97" s="63" t="n">
        <v>1</v>
      </c>
      <c r="N97" s="32" t="inlineStr">
        <is>
          <t>Active</t>
        </is>
      </c>
      <c r="O97" s="32" t="n"/>
      <c r="P97" s="64" t="n">
        <v>4.3</v>
      </c>
      <c r="Q97" s="63" t="n">
        <v>20283</v>
      </c>
      <c r="R97" s="63" t="n">
        <v>2554</v>
      </c>
      <c r="S97" s="63"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59" t="n">
        <v>39.99</v>
      </c>
      <c r="H98" s="32" t="inlineStr">
        <is>
          <t>Helium 10 Xray (Amazon.ca, CAD), 2026-10-14</t>
        </is>
      </c>
      <c r="I98" s="60" t="n">
        <v>39.99</v>
      </c>
      <c r="J98" s="61" t="inlineStr">
        <is>
          <t>2026-03-30</t>
        </is>
      </c>
      <c r="K98" s="33" t="n">
        <v>17.57</v>
      </c>
      <c r="L98" s="62" t="n">
        <v>0.4393598399599901</v>
      </c>
      <c r="M98" s="63" t="n">
        <v>1</v>
      </c>
      <c r="N98" s="32" t="inlineStr">
        <is>
          <t>Active</t>
        </is>
      </c>
      <c r="O98" s="32" t="n"/>
      <c r="P98" s="64" t="n">
        <v>4.3</v>
      </c>
      <c r="Q98" s="63" t="n">
        <v>20283</v>
      </c>
      <c r="R98" s="63" t="n">
        <v>2554</v>
      </c>
      <c r="S98" s="63"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59" t="n">
        <v>59.02</v>
      </c>
      <c r="H99" s="32" t="inlineStr">
        <is>
          <t>Helium 10 Xray (Amazon.ca, CAD), 2026-10-14</t>
        </is>
      </c>
      <c r="I99" s="60" t="n">
        <v>44.99</v>
      </c>
      <c r="J99" s="61" t="inlineStr">
        <is>
          <t>2026-03-30</t>
        </is>
      </c>
      <c r="K99" s="33" t="n">
        <v>19.93</v>
      </c>
      <c r="L99" s="62" t="n">
        <v>0.4429873305178929</v>
      </c>
      <c r="M99" s="63" t="n"/>
      <c r="N99" s="32" t="inlineStr">
        <is>
          <t>Inactive</t>
        </is>
      </c>
      <c r="O99" s="32" t="n"/>
      <c r="P99" s="64" t="n">
        <v>4.3</v>
      </c>
      <c r="Q99" s="63" t="n">
        <v>20283</v>
      </c>
      <c r="R99" s="63" t="n">
        <v>2554</v>
      </c>
      <c r="S99" s="63"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0" t="n">
        <v>54.12</v>
      </c>
      <c r="J100" s="61" t="inlineStr">
        <is>
          <t>2026-03-06</t>
        </is>
      </c>
      <c r="K100" s="33" t="n"/>
      <c r="L100" s="62" t="n"/>
      <c r="M100" s="63" t="n"/>
      <c r="N100" s="32" t="inlineStr">
        <is>
          <t>Inactive</t>
        </is>
      </c>
      <c r="O100" s="32" t="n"/>
      <c r="P100" s="64" t="n"/>
      <c r="Q100" s="63" t="n"/>
      <c r="R100" s="63" t="n"/>
      <c r="S100" s="63"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59" t="n">
        <v>55.27</v>
      </c>
      <c r="H101" s="32" t="inlineStr">
        <is>
          <t>Helium 10 Xray (Amazon.ca, CAD), 2026-10-14</t>
        </is>
      </c>
      <c r="I101" s="60" t="n">
        <v>44.99</v>
      </c>
      <c r="J101" s="61" t="inlineStr">
        <is>
          <t>2026-03-30</t>
        </is>
      </c>
      <c r="K101" s="33" t="n">
        <v>20.79</v>
      </c>
      <c r="L101" s="62" t="n">
        <v>0.4621026894865525</v>
      </c>
      <c r="M101" s="63" t="n">
        <v>0</v>
      </c>
      <c r="N101" s="32" t="inlineStr">
        <is>
          <t>Active</t>
        </is>
      </c>
      <c r="O101" s="32" t="n"/>
      <c r="P101" s="64" t="n">
        <v>4.3</v>
      </c>
      <c r="Q101" s="63" t="n">
        <v>20283</v>
      </c>
      <c r="R101" s="63" t="n">
        <v>2554</v>
      </c>
      <c r="S101" s="63"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59" t="n">
        <v>44.99</v>
      </c>
      <c r="H102" s="32" t="inlineStr">
        <is>
          <t>Helium 10 Xray (Amazon.ca, CAD), 2026-10-14</t>
        </is>
      </c>
      <c r="I102" s="60" t="n">
        <v>44.99</v>
      </c>
      <c r="J102" s="61" t="inlineStr">
        <is>
          <t>2026-03-30</t>
        </is>
      </c>
      <c r="K102" s="33" t="n">
        <v>19.93</v>
      </c>
      <c r="L102" s="62" t="n">
        <v>0.4429873305178929</v>
      </c>
      <c r="M102" s="63" t="n">
        <v>0</v>
      </c>
      <c r="N102" s="32" t="inlineStr">
        <is>
          <t>Active</t>
        </is>
      </c>
      <c r="O102" s="32" t="n"/>
      <c r="P102" s="64" t="n">
        <v>4.3</v>
      </c>
      <c r="Q102" s="63" t="n">
        <v>20283</v>
      </c>
      <c r="R102" s="63" t="n">
        <v>2554</v>
      </c>
      <c r="S102" s="63"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59" t="n">
        <v>44.99</v>
      </c>
      <c r="H103" s="32" t="inlineStr">
        <is>
          <t>Helium 10 Xray (Amazon.ca, CAD), 2026-10-14</t>
        </is>
      </c>
      <c r="I103" s="60" t="n">
        <v>44.99</v>
      </c>
      <c r="J103" s="61" t="inlineStr">
        <is>
          <t>2026-03-30</t>
        </is>
      </c>
      <c r="K103" s="33" t="n">
        <v>20.09</v>
      </c>
      <c r="L103" s="62" t="n">
        <v>0.4465436763725272</v>
      </c>
      <c r="M103" s="63" t="n">
        <v>0</v>
      </c>
      <c r="N103" s="32" t="inlineStr">
        <is>
          <t>Active</t>
        </is>
      </c>
      <c r="O103" s="32" t="n"/>
      <c r="P103" s="64" t="n">
        <v>4.3</v>
      </c>
      <c r="Q103" s="63" t="n">
        <v>20283</v>
      </c>
      <c r="R103" s="63" t="n">
        <v>2554</v>
      </c>
      <c r="S103" s="63"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2" t="n"/>
      <c r="M104" s="63" t="n"/>
      <c r="N104" s="32" t="inlineStr">
        <is>
          <t>Inactive</t>
        </is>
      </c>
      <c r="O104" s="32" t="n"/>
      <c r="P104" s="64" t="n"/>
      <c r="Q104" s="63" t="n"/>
      <c r="R104" s="63" t="n"/>
      <c r="S104" s="63"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0" t="n">
        <v>44.99</v>
      </c>
      <c r="J105" s="61" t="inlineStr">
        <is>
          <t>2026-03-30</t>
        </is>
      </c>
      <c r="K105" s="33" t="n">
        <v>19.15</v>
      </c>
      <c r="L105" s="62" t="n">
        <v>0.4256501444765504</v>
      </c>
      <c r="M105" s="63" t="n">
        <v>0</v>
      </c>
      <c r="N105" s="32" t="inlineStr">
        <is>
          <t>Inactive</t>
        </is>
      </c>
      <c r="O105" s="32" t="n"/>
      <c r="P105" s="64" t="n"/>
      <c r="Q105" s="63" t="n"/>
      <c r="R105" s="63" t="n"/>
      <c r="S105" s="63"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59" t="n">
        <v>44.99</v>
      </c>
      <c r="H106" s="32" t="inlineStr">
        <is>
          <t>Helium 10 Xray (Amazon.ca, CAD), 2026-10-14</t>
        </is>
      </c>
      <c r="I106" s="60" t="n">
        <v>32.39</v>
      </c>
      <c r="J106" s="61" t="inlineStr">
        <is>
          <t>2026-03-30</t>
        </is>
      </c>
      <c r="K106" s="33" t="n">
        <v>9.15</v>
      </c>
      <c r="L106" s="62" t="n">
        <v>0.2824945970978697</v>
      </c>
      <c r="M106" s="63" t="n">
        <v>0</v>
      </c>
      <c r="N106" s="32" t="inlineStr">
        <is>
          <t>Active</t>
        </is>
      </c>
      <c r="O106" s="32" t="n"/>
      <c r="P106" s="64" t="n">
        <v>4.3</v>
      </c>
      <c r="Q106" s="63" t="n">
        <v>20283</v>
      </c>
      <c r="R106" s="63" t="n">
        <v>2554</v>
      </c>
      <c r="S106" s="63"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59" t="n">
        <v>44.99</v>
      </c>
      <c r="H107" s="32" t="inlineStr">
        <is>
          <t>Helium 10 Xray (Amazon.ca, CAD), 2026-10-14</t>
        </is>
      </c>
      <c r="I107" s="60" t="n">
        <v>44.99</v>
      </c>
      <c r="J107" s="61" t="inlineStr">
        <is>
          <t>2026-03-30</t>
        </is>
      </c>
      <c r="K107" s="33" t="n">
        <v>19.15</v>
      </c>
      <c r="L107" s="62" t="n">
        <v>0.4256501444765504</v>
      </c>
      <c r="M107" s="63" t="n">
        <v>0</v>
      </c>
      <c r="N107" s="32" t="inlineStr">
        <is>
          <t>Active</t>
        </is>
      </c>
      <c r="O107" s="32" t="n"/>
      <c r="P107" s="64" t="n">
        <v>4.3</v>
      </c>
      <c r="Q107" s="63" t="n">
        <v>20283</v>
      </c>
      <c r="R107" s="63" t="n">
        <v>2554</v>
      </c>
      <c r="S107" s="63"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0" t="n">
        <v>44.99</v>
      </c>
      <c r="J108" s="61" t="inlineStr">
        <is>
          <t>2026-03-30</t>
        </is>
      </c>
      <c r="K108" s="33" t="n">
        <v>19.14</v>
      </c>
      <c r="L108" s="62" t="n">
        <v>0.4254278728606358</v>
      </c>
      <c r="M108" s="63" t="n">
        <v>0</v>
      </c>
      <c r="N108" s="32" t="inlineStr">
        <is>
          <t>Active</t>
        </is>
      </c>
      <c r="O108" s="32" t="n"/>
      <c r="P108" s="64" t="n"/>
      <c r="Q108" s="63" t="n"/>
      <c r="R108" s="63" t="n"/>
      <c r="S108" s="63"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59" t="n">
        <v>55.27</v>
      </c>
      <c r="H109" s="32" t="inlineStr">
        <is>
          <t>Helium 10 Xray (Amazon.ca, CAD), 2026-10-14</t>
        </is>
      </c>
      <c r="I109" s="60" t="n">
        <v>32.39</v>
      </c>
      <c r="J109" s="61" t="inlineStr">
        <is>
          <t>2026-03-30</t>
        </is>
      </c>
      <c r="K109" s="33" t="n">
        <v>10.09</v>
      </c>
      <c r="L109" s="62" t="n">
        <v>0.3115158999691263</v>
      </c>
      <c r="M109" s="63" t="n">
        <v>0</v>
      </c>
      <c r="N109" s="32" t="inlineStr">
        <is>
          <t>Active</t>
        </is>
      </c>
      <c r="O109" s="32" t="n"/>
      <c r="P109" s="64" t="n">
        <v>4.3</v>
      </c>
      <c r="Q109" s="63" t="n">
        <v>20283</v>
      </c>
      <c r="R109" s="63" t="n">
        <v>2554</v>
      </c>
      <c r="S109" s="63"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59" t="n">
        <v>90.59999999999999</v>
      </c>
      <c r="H110" s="32" t="inlineStr">
        <is>
          <t>Helium 10 Xray (Amazon.ca, CAD), 2026-10-14</t>
        </is>
      </c>
      <c r="I110" s="60" t="n">
        <v>52.99</v>
      </c>
      <c r="J110" s="61" t="inlineStr">
        <is>
          <t>2026-03-30</t>
        </is>
      </c>
      <c r="K110" s="33" t="n">
        <v>23.3</v>
      </c>
      <c r="L110" s="62" t="n">
        <v>0.4397056048311001</v>
      </c>
      <c r="M110" s="63" t="n"/>
      <c r="N110" s="32" t="inlineStr">
        <is>
          <t>Inactive</t>
        </is>
      </c>
      <c r="O110" s="32" t="n"/>
      <c r="P110" s="64" t="n">
        <v>4.3</v>
      </c>
      <c r="Q110" s="63" t="n">
        <v>20283</v>
      </c>
      <c r="R110" s="63" t="n">
        <v>2554</v>
      </c>
      <c r="S110" s="63"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0" t="n">
        <v>52.99</v>
      </c>
      <c r="J111" s="61" t="inlineStr">
        <is>
          <t>2026-03-30</t>
        </is>
      </c>
      <c r="K111" s="33" t="n">
        <v>23.71</v>
      </c>
      <c r="L111" s="62" t="n">
        <v>0.4474429137573127</v>
      </c>
      <c r="M111" s="63" t="n"/>
      <c r="N111" s="32" t="inlineStr">
        <is>
          <t>Inactive</t>
        </is>
      </c>
      <c r="O111" s="32" t="n"/>
      <c r="P111" s="64" t="n"/>
      <c r="Q111" s="63" t="n"/>
      <c r="R111" s="63" t="n"/>
      <c r="S111" s="63"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2" t="n"/>
      <c r="M112" s="63" t="n"/>
      <c r="N112" s="32" t="inlineStr">
        <is>
          <t>Inactive</t>
        </is>
      </c>
      <c r="O112" s="32" t="n"/>
      <c r="P112" s="64" t="n"/>
      <c r="Q112" s="63" t="n"/>
      <c r="R112" s="63" t="n"/>
      <c r="S112" s="63"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59" t="n">
        <v>52.99</v>
      </c>
      <c r="H113" s="32" t="inlineStr">
        <is>
          <t>Helium 10 Xray (Amazon.ca, CAD), 2026-10-14</t>
        </is>
      </c>
      <c r="I113" s="60" t="n">
        <v>52.99</v>
      </c>
      <c r="J113" s="61" t="inlineStr">
        <is>
          <t>2026-03-30</t>
        </is>
      </c>
      <c r="K113" s="33" t="n">
        <v>23.8</v>
      </c>
      <c r="L113" s="62" t="n">
        <v>0.4491413474240423</v>
      </c>
      <c r="M113" s="63" t="n">
        <v>0</v>
      </c>
      <c r="N113" s="32" t="inlineStr">
        <is>
          <t>Active</t>
        </is>
      </c>
      <c r="O113" s="32" t="n"/>
      <c r="P113" s="64" t="n">
        <v>4.3</v>
      </c>
      <c r="Q113" s="63" t="n">
        <v>20283</v>
      </c>
      <c r="R113" s="63" t="n">
        <v>2536</v>
      </c>
      <c r="S113" s="63"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0" t="n">
        <v>52.99</v>
      </c>
      <c r="J114" s="61" t="inlineStr">
        <is>
          <t>2026-03-30</t>
        </is>
      </c>
      <c r="K114" s="33" t="n">
        <v>24.41</v>
      </c>
      <c r="L114" s="62" t="n">
        <v>0.4606529533874315</v>
      </c>
      <c r="M114" s="63" t="n">
        <v>0</v>
      </c>
      <c r="N114" s="32" t="inlineStr">
        <is>
          <t>Active</t>
        </is>
      </c>
      <c r="O114" s="32" t="n"/>
      <c r="P114" s="64" t="n"/>
      <c r="Q114" s="63" t="n"/>
      <c r="R114" s="63" t="n"/>
      <c r="S114" s="63"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2" t="n"/>
      <c r="M115" s="63" t="n"/>
      <c r="N115" s="32" t="inlineStr">
        <is>
          <t>Inactive</t>
        </is>
      </c>
      <c r="O115" s="32" t="n"/>
      <c r="P115" s="64" t="n"/>
      <c r="Q115" s="63" t="n"/>
      <c r="R115" s="63" t="n"/>
      <c r="S115" s="63"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0" t="n">
        <v>49.99</v>
      </c>
      <c r="J116" s="61" t="inlineStr">
        <is>
          <t>2026-03-30</t>
        </is>
      </c>
      <c r="K116" s="33" t="n">
        <v>20.41</v>
      </c>
      <c r="L116" s="62" t="n">
        <v>0.4082816563312663</v>
      </c>
      <c r="M116" s="63" t="n">
        <v>0</v>
      </c>
      <c r="N116" s="32" t="inlineStr">
        <is>
          <t>Active</t>
        </is>
      </c>
      <c r="O116" s="32" t="n"/>
      <c r="P116" s="64" t="n"/>
      <c r="Q116" s="63" t="n"/>
      <c r="R116" s="63" t="n"/>
      <c r="S116" s="63"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2" t="n"/>
      <c r="M117" s="63" t="n"/>
      <c r="N117" s="32" t="inlineStr">
        <is>
          <t>Inactive</t>
        </is>
      </c>
      <c r="O117" s="32" t="n"/>
      <c r="P117" s="64" t="n"/>
      <c r="Q117" s="63" t="n"/>
      <c r="R117" s="63" t="n"/>
      <c r="S117" s="63"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0" t="n">
        <v>52.99</v>
      </c>
      <c r="J118" s="61" t="inlineStr">
        <is>
          <t>2026-03-30</t>
        </is>
      </c>
      <c r="K118" s="33" t="n">
        <v>23.47</v>
      </c>
      <c r="L118" s="62" t="n">
        <v>0.4429137573127005</v>
      </c>
      <c r="M118" s="63" t="n">
        <v>0</v>
      </c>
      <c r="N118" s="32" t="inlineStr">
        <is>
          <t>Active</t>
        </is>
      </c>
      <c r="O118" s="32" t="n"/>
      <c r="P118" s="64" t="n"/>
      <c r="Q118" s="63" t="n"/>
      <c r="R118" s="63" t="n"/>
      <c r="S118" s="63"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0" t="n">
        <v>63.23</v>
      </c>
      <c r="J119" s="61" t="inlineStr">
        <is>
          <t>2026-03-30</t>
        </is>
      </c>
      <c r="K119" s="33" t="n">
        <v>25.1785</v>
      </c>
      <c r="L119" s="62" t="n">
        <v>0.3982049659971533</v>
      </c>
      <c r="M119" s="63" t="n">
        <v>0</v>
      </c>
      <c r="N119" s="32" t="inlineStr">
        <is>
          <t>Inactive</t>
        </is>
      </c>
      <c r="O119" s="32" t="n"/>
      <c r="P119" s="64" t="n"/>
      <c r="Q119" s="63" t="n"/>
      <c r="R119" s="63" t="n"/>
      <c r="S119" s="63"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0" t="n">
        <v>52.99</v>
      </c>
      <c r="J120" s="61" t="inlineStr">
        <is>
          <t>2026-03-30</t>
        </is>
      </c>
      <c r="K120" s="33" t="n">
        <v>23.41</v>
      </c>
      <c r="L120" s="62" t="n">
        <v>0.4417814682015475</v>
      </c>
      <c r="M120" s="63" t="n"/>
      <c r="N120" s="32" t="inlineStr">
        <is>
          <t>Active</t>
        </is>
      </c>
      <c r="O120" s="32" t="n"/>
      <c r="P120" s="64" t="n"/>
      <c r="Q120" s="63" t="n"/>
      <c r="R120" s="63" t="n"/>
      <c r="S120" s="63"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0" t="n">
        <v>52.99</v>
      </c>
      <c r="J121" s="61" t="inlineStr">
        <is>
          <t>2026-03-30</t>
        </is>
      </c>
      <c r="K121" s="33" t="n">
        <v>23.63</v>
      </c>
      <c r="L121" s="62" t="n">
        <v>0.4459331949424418</v>
      </c>
      <c r="M121" s="63" t="n"/>
      <c r="N121" s="32" t="inlineStr">
        <is>
          <t>Inactive</t>
        </is>
      </c>
      <c r="O121" s="32" t="n"/>
      <c r="P121" s="64" t="n"/>
      <c r="Q121" s="63" t="n"/>
      <c r="R121" s="63" t="n"/>
      <c r="S121" s="63"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0" t="n">
        <v>34.49</v>
      </c>
      <c r="J122" s="61" t="inlineStr">
        <is>
          <t>2026-03-22</t>
        </is>
      </c>
      <c r="K122" s="33" t="n">
        <v>7.289999999999999</v>
      </c>
      <c r="L122" s="62" t="n">
        <v>0.2113656132212235</v>
      </c>
      <c r="M122" s="63" t="n">
        <v>0</v>
      </c>
      <c r="N122" s="32" t="inlineStr">
        <is>
          <t>Active</t>
        </is>
      </c>
      <c r="O122" s="32" t="n"/>
      <c r="P122" s="64" t="n"/>
      <c r="Q122" s="63" t="n"/>
      <c r="R122" s="63" t="n"/>
      <c r="S122" s="63"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0" t="n">
        <v>52.99</v>
      </c>
      <c r="J123" s="61" t="inlineStr">
        <is>
          <t>2026-03-30</t>
        </is>
      </c>
      <c r="K123" s="33" t="n">
        <v>23.26</v>
      </c>
      <c r="L123" s="62" t="n">
        <v>0.4389507454236648</v>
      </c>
      <c r="M123" s="63" t="n"/>
      <c r="N123" s="32" t="inlineStr">
        <is>
          <t>Inactive</t>
        </is>
      </c>
      <c r="O123" s="32" t="n"/>
      <c r="P123" s="64" t="n"/>
      <c r="Q123" s="63" t="n"/>
      <c r="R123" s="63" t="n"/>
      <c r="S123" s="63"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0" t="n">
        <v>52.99</v>
      </c>
      <c r="J124" s="61" t="inlineStr">
        <is>
          <t>2026-03-30</t>
        </is>
      </c>
      <c r="K124" s="33" t="n">
        <v>23.48</v>
      </c>
      <c r="L124" s="62" t="n">
        <v>0.4431024721645593</v>
      </c>
      <c r="M124" s="63" t="n"/>
      <c r="N124" s="32" t="inlineStr">
        <is>
          <t>Inactive</t>
        </is>
      </c>
      <c r="O124" s="32" t="n"/>
      <c r="P124" s="64" t="n"/>
      <c r="Q124" s="63" t="n"/>
      <c r="R124" s="63" t="n"/>
      <c r="S124" s="63"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2" t="n"/>
      <c r="M125" s="63" t="n"/>
      <c r="N125" s="32" t="inlineStr">
        <is>
          <t>Inactive</t>
        </is>
      </c>
      <c r="O125" s="32" t="n"/>
      <c r="P125" s="64" t="n"/>
      <c r="Q125" s="63" t="n"/>
      <c r="R125" s="63" t="n"/>
      <c r="S125" s="63"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0" t="n">
        <v>52.99</v>
      </c>
      <c r="J126" s="61" t="inlineStr">
        <is>
          <t>2026-03-30</t>
        </is>
      </c>
      <c r="K126" s="33" t="n">
        <v>24.5</v>
      </c>
      <c r="L126" s="62" t="n">
        <v>0.4623513870541611</v>
      </c>
      <c r="M126" s="63" t="n"/>
      <c r="N126" s="32" t="inlineStr">
        <is>
          <t>Active</t>
        </is>
      </c>
      <c r="O126" s="32" t="n"/>
      <c r="P126" s="64" t="n"/>
      <c r="Q126" s="63" t="n"/>
      <c r="R126" s="63" t="n"/>
      <c r="S126" s="63"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2" t="n"/>
      <c r="M127" s="63" t="n"/>
      <c r="N127" s="32" t="inlineStr">
        <is>
          <t>Inactive</t>
        </is>
      </c>
      <c r="O127" s="32" t="n"/>
      <c r="P127" s="64" t="n"/>
      <c r="Q127" s="63" t="n"/>
      <c r="R127" s="63" t="n"/>
      <c r="S127" s="63"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59" t="n">
        <v>64.87</v>
      </c>
      <c r="H128" s="32" t="inlineStr">
        <is>
          <t>Helium 10 Xray (Amazon.ca, CAD), 2026-10-14</t>
        </is>
      </c>
      <c r="I128" s="60" t="n">
        <v>47.99</v>
      </c>
      <c r="J128" s="61" t="inlineStr">
        <is>
          <t>2026-03-30</t>
        </is>
      </c>
      <c r="K128" s="33" t="n">
        <v>21.97</v>
      </c>
      <c r="L128" s="62" t="n">
        <v>0.4578037091060637</v>
      </c>
      <c r="M128" s="63" t="n"/>
      <c r="N128" s="32" t="inlineStr">
        <is>
          <t>Inactive</t>
        </is>
      </c>
      <c r="O128" s="32" t="n"/>
      <c r="P128" s="64" t="n">
        <v>4.3</v>
      </c>
      <c r="Q128" s="63" t="n">
        <v>20283</v>
      </c>
      <c r="R128" s="63" t="n">
        <v>2554</v>
      </c>
      <c r="S128" s="63"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0" t="n">
        <v>47.99</v>
      </c>
      <c r="J129" s="61" t="inlineStr">
        <is>
          <t>2026-03-30</t>
        </is>
      </c>
      <c r="K129" s="33" t="n">
        <v>20.69</v>
      </c>
      <c r="L129" s="62" t="n">
        <v>0.4311314857261929</v>
      </c>
      <c r="M129" s="63" t="n">
        <v>0</v>
      </c>
      <c r="N129" s="32" t="inlineStr">
        <is>
          <t>Active</t>
        </is>
      </c>
      <c r="O129" s="32" t="n"/>
      <c r="P129" s="64" t="n"/>
      <c r="Q129" s="63" t="n"/>
      <c r="R129" s="63" t="n"/>
      <c r="S129" s="63"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2" t="n"/>
      <c r="M130" s="63" t="n"/>
      <c r="N130" s="32" t="inlineStr">
        <is>
          <t>Inactive</t>
        </is>
      </c>
      <c r="O130" s="32" t="n"/>
      <c r="P130" s="64" t="n"/>
      <c r="Q130" s="63" t="n"/>
      <c r="R130" s="63" t="n"/>
      <c r="S130" s="63"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0" t="n">
        <v>47.99</v>
      </c>
      <c r="J131" s="61" t="inlineStr">
        <is>
          <t>2026-03-30</t>
        </is>
      </c>
      <c r="K131" s="33" t="n">
        <v>20.31</v>
      </c>
      <c r="L131" s="62" t="n">
        <v>0.4232131694102936</v>
      </c>
      <c r="M131" s="63" t="n">
        <v>0</v>
      </c>
      <c r="N131" s="32" t="inlineStr">
        <is>
          <t>Inactive</t>
        </is>
      </c>
      <c r="O131" s="32" t="n"/>
      <c r="P131" s="64" t="n"/>
      <c r="Q131" s="63" t="n"/>
      <c r="R131" s="63" t="n"/>
      <c r="S131" s="63"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0" t="n">
        <v>34.86</v>
      </c>
      <c r="J132" s="61" t="inlineStr">
        <is>
          <t>2026-03-30</t>
        </is>
      </c>
      <c r="K132" s="33" t="n">
        <v>9.4</v>
      </c>
      <c r="L132" s="62" t="n">
        <v>0.2696500286861733</v>
      </c>
      <c r="M132" s="63" t="n"/>
      <c r="N132" s="32" t="inlineStr">
        <is>
          <t>Active</t>
        </is>
      </c>
      <c r="O132" s="32" t="n"/>
      <c r="P132" s="64" t="n"/>
      <c r="Q132" s="63" t="n"/>
      <c r="R132" s="63" t="n"/>
      <c r="S132" s="63"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59" t="n">
        <v>39.99</v>
      </c>
      <c r="H133" s="32" t="inlineStr">
        <is>
          <t>Helium 10 Xray (Amazon.ca, CAD), 2026-10-14</t>
        </is>
      </c>
      <c r="I133" s="60" t="n">
        <v>39.99</v>
      </c>
      <c r="J133" s="61" t="inlineStr">
        <is>
          <t>2026-03-30</t>
        </is>
      </c>
      <c r="K133" s="33" t="n">
        <v>17.31</v>
      </c>
      <c r="L133" s="62" t="n">
        <v>0.4328582145536384</v>
      </c>
      <c r="M133" s="63" t="n">
        <v>0</v>
      </c>
      <c r="N133" s="32" t="inlineStr">
        <is>
          <t>Active</t>
        </is>
      </c>
      <c r="O133" s="32" t="n"/>
      <c r="P133" s="64" t="n">
        <v>4.3</v>
      </c>
      <c r="Q133" s="63" t="n">
        <v>20283</v>
      </c>
      <c r="R133" s="63" t="n">
        <v>2554</v>
      </c>
      <c r="S133" s="63"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59" t="n">
        <v>39.99</v>
      </c>
      <c r="H134" s="32" t="inlineStr">
        <is>
          <t>Helium 10 Xray (Amazon.ca, CAD), 2026-10-14</t>
        </is>
      </c>
      <c r="I134" s="60" t="n">
        <v>39.99</v>
      </c>
      <c r="J134" s="61" t="inlineStr">
        <is>
          <t>2026-03-30</t>
        </is>
      </c>
      <c r="K134" s="33" t="n">
        <v>18.48</v>
      </c>
      <c r="L134" s="62" t="n">
        <v>0.4621155288822207</v>
      </c>
      <c r="M134" s="63" t="n">
        <v>0</v>
      </c>
      <c r="N134" s="32" t="inlineStr">
        <is>
          <t>Active</t>
        </is>
      </c>
      <c r="O134" s="32" t="n"/>
      <c r="P134" s="64" t="n">
        <v>4.3</v>
      </c>
      <c r="Q134" s="63" t="n">
        <v>20283</v>
      </c>
      <c r="R134" s="63" t="n">
        <v>2554</v>
      </c>
      <c r="S134" s="63"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59" t="n">
        <v>52.98</v>
      </c>
      <c r="H135" s="32" t="inlineStr">
        <is>
          <t>Helium 10 Xray (Amazon.ca, CAD), 2026-10-14</t>
        </is>
      </c>
      <c r="I135" s="60" t="n">
        <v>22.94</v>
      </c>
      <c r="J135" s="61" t="inlineStr">
        <is>
          <t>2026-03-30</t>
        </is>
      </c>
      <c r="K135" s="33" t="n">
        <v>3.59</v>
      </c>
      <c r="L135" s="62" t="n">
        <v>0.1564952048823016</v>
      </c>
      <c r="M135" s="63" t="n"/>
      <c r="N135" s="32" t="inlineStr">
        <is>
          <t>Inactive</t>
        </is>
      </c>
      <c r="O135" s="32" t="n"/>
      <c r="P135" s="64" t="n">
        <v>4.3</v>
      </c>
      <c r="Q135" s="63" t="n">
        <v>20283</v>
      </c>
      <c r="R135" s="63" t="n">
        <v>2554</v>
      </c>
      <c r="S135" s="63"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59" t="n">
        <v>49.13</v>
      </c>
      <c r="H136" s="32" t="inlineStr">
        <is>
          <t>Helium 10 Xray (Amazon.ca, CAD), 2026-10-14</t>
        </is>
      </c>
      <c r="I136" s="60" t="n">
        <v>39.99</v>
      </c>
      <c r="J136" s="61" t="inlineStr">
        <is>
          <t>2026-03-30</t>
        </is>
      </c>
      <c r="K136" s="33" t="n">
        <v>18.05</v>
      </c>
      <c r="L136" s="62" t="n">
        <v>0.4513628407101776</v>
      </c>
      <c r="M136" s="63" t="n">
        <v>0</v>
      </c>
      <c r="N136" s="32" t="inlineStr">
        <is>
          <t>Active</t>
        </is>
      </c>
      <c r="O136" s="32" t="n"/>
      <c r="P136" s="64" t="n">
        <v>4.3</v>
      </c>
      <c r="Q136" s="63" t="n">
        <v>20283</v>
      </c>
      <c r="R136" s="63" t="n">
        <v>2554</v>
      </c>
      <c r="S136" s="63"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59" t="n">
        <v>39.99</v>
      </c>
      <c r="H137" s="32" t="inlineStr">
        <is>
          <t>Helium 10 Xray (Amazon.ca, CAD), 2026-10-14</t>
        </is>
      </c>
      <c r="I137" s="60" t="n">
        <v>39.99</v>
      </c>
      <c r="J137" s="61" t="inlineStr">
        <is>
          <t>2026-03-30</t>
        </is>
      </c>
      <c r="K137" s="33" t="n">
        <v>16.93</v>
      </c>
      <c r="L137" s="62" t="n">
        <v>0.4233558389597399</v>
      </c>
      <c r="M137" s="63" t="n">
        <v>0</v>
      </c>
      <c r="N137" s="32" t="inlineStr">
        <is>
          <t>Active</t>
        </is>
      </c>
      <c r="O137" s="32" t="n"/>
      <c r="P137" s="64" t="n">
        <v>4.3</v>
      </c>
      <c r="Q137" s="63" t="n">
        <v>20283</v>
      </c>
      <c r="R137" s="63" t="n">
        <v>2554</v>
      </c>
      <c r="S137" s="63"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59" t="n">
        <v>39.99</v>
      </c>
      <c r="H138" s="32" t="inlineStr">
        <is>
          <t>Helium 10 Xray (Amazon.ca, CAD), 2026-10-14</t>
        </is>
      </c>
      <c r="I138" s="60" t="n">
        <v>35.99</v>
      </c>
      <c r="J138" s="61" t="inlineStr">
        <is>
          <t>2026-03-30</t>
        </is>
      </c>
      <c r="K138" s="33" t="n">
        <v>13.72</v>
      </c>
      <c r="L138" s="62" t="n">
        <v>0.3812170047235345</v>
      </c>
      <c r="M138" s="63" t="n">
        <v>0</v>
      </c>
      <c r="N138" s="32" t="inlineStr">
        <is>
          <t>Active</t>
        </is>
      </c>
      <c r="O138" s="32" t="n"/>
      <c r="P138" s="64" t="n">
        <v>4.3</v>
      </c>
      <c r="Q138" s="63" t="n">
        <v>20283</v>
      </c>
      <c r="R138" s="63" t="n">
        <v>2554</v>
      </c>
      <c r="S138" s="63"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59" t="n">
        <v>49.13</v>
      </c>
      <c r="H139" s="32" t="inlineStr">
        <is>
          <t>Helium 10 Xray (Amazon.ca, CAD), 2026-10-14</t>
        </is>
      </c>
      <c r="I139" s="60" t="n">
        <v>39.99</v>
      </c>
      <c r="J139" s="61" t="inlineStr">
        <is>
          <t>2026-03-30</t>
        </is>
      </c>
      <c r="K139" s="33" t="n">
        <v>15.95</v>
      </c>
      <c r="L139" s="62" t="n">
        <v>0.3988497124281071</v>
      </c>
      <c r="M139" s="63" t="n">
        <v>0</v>
      </c>
      <c r="N139" s="32" t="inlineStr">
        <is>
          <t>Active</t>
        </is>
      </c>
      <c r="O139" s="32" t="n"/>
      <c r="P139" s="64" t="n">
        <v>4.3</v>
      </c>
      <c r="Q139" s="63" t="n">
        <v>20283</v>
      </c>
      <c r="R139" s="63" t="n">
        <v>2554</v>
      </c>
      <c r="S139" s="63"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0" t="n">
        <v>28.79</v>
      </c>
      <c r="J140" s="61" t="inlineStr">
        <is>
          <t>2026-03-30</t>
        </is>
      </c>
      <c r="K140" s="33" t="n">
        <v>7.569999999999999</v>
      </c>
      <c r="L140" s="62" t="n">
        <v>0.2629385203195553</v>
      </c>
      <c r="M140" s="63" t="n">
        <v>0</v>
      </c>
      <c r="N140" s="32" t="inlineStr">
        <is>
          <t>Inactive</t>
        </is>
      </c>
      <c r="O140" s="32" t="n"/>
      <c r="P140" s="64" t="n"/>
      <c r="Q140" s="63" t="n"/>
      <c r="R140" s="63" t="n"/>
      <c r="S140" s="63"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59" t="n">
        <v>54.54</v>
      </c>
      <c r="H141" s="32" t="inlineStr">
        <is>
          <t>Helium 10 Xray (Amazon.ca, CAD), 2026-10-14</t>
        </is>
      </c>
      <c r="I141" s="60" t="n">
        <v>39.99</v>
      </c>
      <c r="J141" s="61" t="inlineStr">
        <is>
          <t>2026-03-30</t>
        </is>
      </c>
      <c r="K141" s="33" t="n">
        <v>17.2</v>
      </c>
      <c r="L141" s="62" t="n">
        <v>0.4301075268817205</v>
      </c>
      <c r="M141" s="63" t="n"/>
      <c r="N141" s="32" t="inlineStr">
        <is>
          <t>Inactive</t>
        </is>
      </c>
      <c r="O141" s="32" t="n"/>
      <c r="P141" s="64" t="n">
        <v>4.3</v>
      </c>
      <c r="Q141" s="63" t="n">
        <v>20283</v>
      </c>
      <c r="R141" s="63" t="n">
        <v>2554</v>
      </c>
      <c r="S141" s="63"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59" t="n">
        <v>39.99</v>
      </c>
      <c r="H142" s="32" t="inlineStr">
        <is>
          <t>Helium 10 Xray (Amazon.ca, CAD), 2026-10-14</t>
        </is>
      </c>
      <c r="I142" s="60" t="n">
        <v>39.99</v>
      </c>
      <c r="J142" s="61" t="inlineStr">
        <is>
          <t>2026-03-30</t>
        </is>
      </c>
      <c r="K142" s="33" t="n">
        <v>17.4</v>
      </c>
      <c r="L142" s="62" t="n">
        <v>0.4351087771942986</v>
      </c>
      <c r="M142" s="63" t="n">
        <v>0</v>
      </c>
      <c r="N142" s="32" t="inlineStr">
        <is>
          <t>Active</t>
        </is>
      </c>
      <c r="O142" s="32" t="n"/>
      <c r="P142" s="64" t="n">
        <v>4.3</v>
      </c>
      <c r="Q142" s="63" t="n">
        <v>20283</v>
      </c>
      <c r="R142" s="63" t="n">
        <v>2554</v>
      </c>
      <c r="S142" s="63"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59" t="n">
        <v>49.13</v>
      </c>
      <c r="H143" s="32" t="inlineStr">
        <is>
          <t>Helium 10 Xray (Amazon.ca, CAD), 2026-10-14</t>
        </is>
      </c>
      <c r="I143" s="60" t="n">
        <v>22.94</v>
      </c>
      <c r="J143" s="61" t="inlineStr">
        <is>
          <t>2026-03-30</t>
        </is>
      </c>
      <c r="K143" s="33" t="n">
        <v>2.48</v>
      </c>
      <c r="L143" s="62" t="n">
        <v>0.1081081081081081</v>
      </c>
      <c r="M143" s="63" t="n">
        <v>0</v>
      </c>
      <c r="N143" s="32" t="inlineStr">
        <is>
          <t>Active</t>
        </is>
      </c>
      <c r="O143" s="32" t="n"/>
      <c r="P143" s="64" t="n">
        <v>4.3</v>
      </c>
      <c r="Q143" s="63" t="n">
        <v>20283</v>
      </c>
      <c r="R143" s="63" t="n">
        <v>2554</v>
      </c>
      <c r="S143" s="63"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59" t="n">
        <v>39.99</v>
      </c>
      <c r="H144" s="32" t="inlineStr">
        <is>
          <t>Helium 10 Xray (Amazon.ca, CAD), 2026-10-14</t>
        </is>
      </c>
      <c r="I144" s="60" t="n">
        <v>39.99</v>
      </c>
      <c r="J144" s="61" t="inlineStr">
        <is>
          <t>2026-03-30</t>
        </is>
      </c>
      <c r="K144" s="33" t="n">
        <v>17.2</v>
      </c>
      <c r="L144" s="62" t="n">
        <v>0.4301075268817205</v>
      </c>
      <c r="M144" s="63" t="n">
        <v>0</v>
      </c>
      <c r="N144" s="32" t="inlineStr">
        <is>
          <t>Active</t>
        </is>
      </c>
      <c r="O144" s="32" t="n"/>
      <c r="P144" s="64" t="n">
        <v>4.3</v>
      </c>
      <c r="Q144" s="63" t="n">
        <v>20283</v>
      </c>
      <c r="R144" s="63" t="n">
        <v>2536</v>
      </c>
      <c r="S144" s="63" t="n">
        <v>5</v>
      </c>
      <c r="T144" s="32" t="n"/>
    </row>
    <row r="146" ht="20" customHeight="1">
      <c r="A146" s="53" t="inlineStr">
        <is>
          <t>3 · OUR BFCM 2025 RESULT &amp; EVENT VISIBILITY</t>
        </is>
      </c>
    </row>
    <row r="147">
      <c r="A147" s="66" t="inlineStr">
        <is>
          <t>Window</t>
        </is>
      </c>
      <c r="B147" s="67" t="n"/>
      <c r="C147" s="68" t="n"/>
      <c r="D147" s="66" t="inlineStr">
        <is>
          <t>Ad spend</t>
        </is>
      </c>
      <c r="E147" s="66" t="inlineStr">
        <is>
          <t>Ad sales</t>
        </is>
      </c>
      <c r="F147" s="66" t="inlineStr">
        <is>
          <t>ACoS</t>
        </is>
      </c>
      <c r="G147" s="66" t="inlineStr">
        <is>
          <t>TACoS</t>
        </is>
      </c>
      <c r="H147" s="66" t="inlineStr">
        <is>
          <t>Total sales (derived)</t>
        </is>
      </c>
      <c r="J147" s="66" t="inlineStr">
        <is>
          <t>Ad orders</t>
        </is>
      </c>
      <c r="K147" s="66" t="inlineStr">
        <is>
          <t>CVR</t>
        </is>
      </c>
    </row>
    <row r="148">
      <c r="A148" s="69" t="inlineStr">
        <is>
          <t>Pre-event Oct 21 - Nov 19, 2025 (30d)</t>
        </is>
      </c>
      <c r="B148" s="67" t="n"/>
      <c r="C148" s="68" t="n"/>
      <c r="D148" s="70" t="n">
        <v>9724.07</v>
      </c>
      <c r="E148" s="70" t="n">
        <v>38134.05</v>
      </c>
      <c r="F148" s="71" t="n">
        <v>25.5</v>
      </c>
      <c r="G148" s="71" t="n">
        <v>14.66445424614631</v>
      </c>
      <c r="H148" s="70" t="n">
        <v>66310.48</v>
      </c>
      <c r="J148" s="72" t="n">
        <v>976</v>
      </c>
      <c r="K148" s="73" t="n">
        <v>14.18</v>
      </c>
    </row>
    <row r="149">
      <c r="A149" s="69" t="inlineStr">
        <is>
          <t>BFCM week Nov 20 - Dec 1, 2025 (12d)</t>
        </is>
      </c>
      <c r="B149" s="67" t="n"/>
      <c r="C149" s="68" t="n"/>
      <c r="D149" s="70" t="n">
        <v>8728.68</v>
      </c>
      <c r="E149" s="70" t="n">
        <v>39244.06</v>
      </c>
      <c r="F149" s="71" t="n">
        <v>22.2</v>
      </c>
      <c r="G149" s="71" t="n">
        <v>10.05642820456278</v>
      </c>
      <c r="H149" s="70" t="n">
        <v>86797.02</v>
      </c>
      <c r="J149" s="72" t="n">
        <v>1163</v>
      </c>
      <c r="K149" s="73" t="n">
        <v>21.72</v>
      </c>
    </row>
    <row r="150">
      <c r="A150" s="69" t="inlineStr">
        <is>
          <t>December 2 - 31, 2025 (30d)</t>
        </is>
      </c>
      <c r="B150" s="67" t="n"/>
      <c r="C150" s="68" t="n"/>
      <c r="D150" s="70" t="n">
        <v>17298.34</v>
      </c>
      <c r="E150" s="70" t="n">
        <v>77372.58</v>
      </c>
      <c r="F150" s="71" t="n">
        <v>22.4</v>
      </c>
      <c r="G150" s="71" t="n">
        <v>13.43959452969996</v>
      </c>
      <c r="H150" s="70" t="n">
        <v>128711.77</v>
      </c>
      <c r="J150" s="72" t="n">
        <v>1996</v>
      </c>
      <c r="K150" s="73" t="n">
        <v>15.97</v>
      </c>
    </row>
    <row r="152">
      <c r="A152" s="66" t="inlineStr">
        <is>
          <t>Actual sales (SellerBoard)</t>
        </is>
      </c>
      <c r="B152" s="67" t="n"/>
      <c r="C152" s="68" t="n"/>
      <c r="D152" s="66" t="inlineStr">
        <is>
          <t>Sales</t>
        </is>
      </c>
      <c r="E152" s="66" t="inlineStr">
        <is>
          <t>Units</t>
        </is>
      </c>
      <c r="F152" s="66" t="inlineStr">
        <is>
          <t>Organic units</t>
        </is>
      </c>
      <c r="G152" s="66" t="inlineStr">
        <is>
          <t>Ad units</t>
        </is>
      </c>
      <c r="H152" s="66" t="inlineStr">
        <is>
          <t>Ad cost</t>
        </is>
      </c>
      <c r="J152" s="66" t="inlineStr">
        <is>
          <t>TACoS (actual)</t>
        </is>
      </c>
      <c r="K152" s="66" t="inlineStr">
        <is>
          <t>Sessions</t>
        </is>
      </c>
      <c r="L152" s="66" t="inlineStr">
        <is>
          <t>Unit session %</t>
        </is>
      </c>
      <c r="M152" s="66" t="inlineStr">
        <is>
          <t>Avg price</t>
        </is>
      </c>
      <c r="N152" s="66" t="inlineStr">
        <is>
          <t>Refunds</t>
        </is>
      </c>
    </row>
    <row r="153">
      <c r="A153" s="69" t="inlineStr">
        <is>
          <t>Pre-event Oct 21 - Nov 19, 2025 (30d)</t>
        </is>
      </c>
      <c r="B153" s="67" t="n"/>
      <c r="C153" s="68" t="n"/>
      <c r="D153" s="70" t="n">
        <v>47285.27</v>
      </c>
      <c r="E153" s="72" t="n">
        <v>1704</v>
      </c>
      <c r="F153" s="72" t="n">
        <v>1467</v>
      </c>
      <c r="G153" s="72" t="n">
        <v>237</v>
      </c>
      <c r="H153" s="70" t="n">
        <v>7149.69</v>
      </c>
      <c r="J153" s="74" t="n">
        <v>0.1512033239949777</v>
      </c>
      <c r="K153" s="72" t="n">
        <v>35756</v>
      </c>
      <c r="L153" s="74" t="n">
        <v>0.04765633739791923</v>
      </c>
      <c r="M153" s="75" t="n">
        <v>27.74957159624413</v>
      </c>
      <c r="N153" s="72" t="n">
        <v>79</v>
      </c>
    </row>
    <row r="154">
      <c r="A154" s="69" t="inlineStr">
        <is>
          <t>BFCM week Nov 20 - Dec 1, 2025 (12d)</t>
        </is>
      </c>
      <c r="B154" s="67" t="n"/>
      <c r="C154" s="68" t="n"/>
      <c r="D154" s="70" t="n">
        <v>61830.52</v>
      </c>
      <c r="E154" s="72" t="n">
        <v>2667</v>
      </c>
      <c r="F154" s="72" t="n">
        <v>2445</v>
      </c>
      <c r="G154" s="72" t="n">
        <v>222</v>
      </c>
      <c r="H154" s="70" t="n">
        <v>6602.74</v>
      </c>
      <c r="J154" s="74" t="n">
        <v>0.1067877158400091</v>
      </c>
      <c r="K154" s="72" t="n">
        <v>38883</v>
      </c>
      <c r="L154" s="74" t="n">
        <v>0.06859038654424814</v>
      </c>
      <c r="M154" s="75" t="n">
        <v>23.18354705661792</v>
      </c>
      <c r="N154" s="72" t="n">
        <v>34</v>
      </c>
    </row>
    <row r="155">
      <c r="A155" s="69" t="inlineStr">
        <is>
          <t>December 2 - 31, 2025 (30d)</t>
        </is>
      </c>
      <c r="B155" s="67" t="n"/>
      <c r="C155" s="68" t="n"/>
      <c r="D155" s="70" t="n">
        <v>97478.5</v>
      </c>
      <c r="E155" s="72" t="n">
        <v>3494</v>
      </c>
      <c r="F155" s="72" t="n">
        <v>3124</v>
      </c>
      <c r="G155" s="72" t="n">
        <v>370</v>
      </c>
      <c r="H155" s="70" t="n">
        <v>12895.29</v>
      </c>
      <c r="J155" s="74" t="n">
        <v>0.1322885559379761</v>
      </c>
      <c r="K155" s="72" t="n">
        <v>59789</v>
      </c>
      <c r="L155" s="74" t="n">
        <v>0.05843884326548362</v>
      </c>
      <c r="M155" s="75" t="n">
        <v>27.89882655981683</v>
      </c>
      <c r="N155" s="72" t="n">
        <v>192</v>
      </c>
    </row>
    <row r="156">
      <c r="A156" s="58"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6"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7" t="inlineStr">
        <is>
          <t>BFCM 2026 plan (BM, Oct 15, 2026): Best Deal 11/19-11/30. Deal price and depth not yet given; not yet visible in Amazon's deal feed.</t>
        </is>
      </c>
    </row>
    <row r="159" ht="18" customHeight="1">
      <c r="A159" s="79" t="inlineStr">
        <is>
          <t>ASSUMED 2026 deal prices, until BM's final: B0839MKJMV today C$47.99; C$40.79 at 15% off (Nov 19-26) and C$38.39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60" ht="40" customHeight="1">
      <c r="A160" s="76"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8" t="inlineStr">
        <is>
          <t>Figures above are Amazon.ca in CAD. Visibility history is held for US ASINs only.</t>
        </is>
      </c>
    </row>
    <row r="163" ht="20" customHeight="1">
      <c r="A163" s="53" t="inlineStr">
        <is>
          <t>4 · COMPETITOR LANDSCAPE (15 mapped)</t>
        </is>
      </c>
    </row>
    <row r="164">
      <c r="A164" s="58" t="inlineStr">
        <is>
          <t>Sorted by tier, then estimated weekly units. Green = Command Center price/sales; blue = Data Dive listing; purple = Command Center search strategy (ASINsight); yellow = fill from Keepa / page check.</t>
        </is>
      </c>
    </row>
    <row r="165" ht="30" customHeight="1">
      <c r="A165" s="76"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25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25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25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25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25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25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25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25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25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25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25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25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25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25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25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3"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Satin Sheets 6 Piece  ·  Amazon.com (US)  ·  Satin  ·  BFCM role: Clearance with margin  ·  Scope: Core</t>
        </is>
      </c>
    </row>
    <row r="2">
      <c r="A2" s="52" t="inlineStr">
        <is>
          <t>← Dashboard</t>
        </is>
      </c>
    </row>
    <row r="3" ht="20" customHeight="1">
      <c r="A3" s="53"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4" t="inlineStr">
        <is>
          <t>Full, King, Queen, Twin</t>
        </is>
      </c>
      <c r="S4" s="11" t="inlineStr">
        <is>
          <t>Break-even ACoS</t>
        </is>
      </c>
      <c r="T4" s="54" t="inlineStr">
        <is>
          <t>27%</t>
        </is>
      </c>
    </row>
    <row r="5" ht="22" customHeight="1">
      <c r="C5" s="11" t="inlineStr">
        <is>
          <t>Brand</t>
        </is>
      </c>
      <c r="D5" s="54" t="inlineStr">
        <is>
          <t>Decolure</t>
        </is>
      </c>
      <c r="K5" s="11" t="inlineStr">
        <is>
          <t>Colours</t>
        </is>
      </c>
      <c r="L5" s="54"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4" t="inlineStr">
        <is>
          <t>486</t>
        </is>
      </c>
    </row>
    <row r="6" ht="22" customHeight="1">
      <c r="C6" s="11" t="inlineStr">
        <is>
          <t>Marketplace</t>
        </is>
      </c>
      <c r="D6" s="54" t="inlineStr">
        <is>
          <t>Amazon.com (US)</t>
        </is>
      </c>
      <c r="K6" s="11" t="inlineStr">
        <is>
          <t>Price now, best child</t>
        </is>
      </c>
      <c r="L6" s="54" t="inlineStr">
        <is>
          <t>$33.95 (Helium 10 Xray, 2026-10-13)</t>
        </is>
      </c>
      <c r="S6" s="11" t="inlineStr">
        <is>
          <t>Command Center product ASIN</t>
        </is>
      </c>
      <c r="T6" s="54" t="inlineStr">
        <is>
          <t>B0D9QQWYP4 (one of our child ASINs, not the Amazon parent)</t>
        </is>
      </c>
    </row>
    <row r="7" ht="22" customHeight="1">
      <c r="C7" s="11" t="inlineStr">
        <is>
          <t>Parent ASIN (Amazon)</t>
        </is>
      </c>
      <c r="D7" s="54" t="inlineStr">
        <is>
          <t>B0HDTF4MN2</t>
        </is>
      </c>
      <c r="K7" s="11" t="inlineStr">
        <is>
          <t>Rating / reviews now</t>
        </is>
      </c>
      <c r="L7" s="54" t="inlineStr">
        <is>
          <t>4.4 / 1,628 (Helium 10 Xray, 2026-10-13)</t>
        </is>
      </c>
    </row>
    <row r="8" ht="22" customHeight="1">
      <c r="C8" s="11" t="inlineStr">
        <is>
          <t>Best-selling child ASIN</t>
        </is>
      </c>
      <c r="D8" s="54" t="inlineStr">
        <is>
          <t>B0C7FXXS6R</t>
        </is>
      </c>
      <c r="K8" s="11" t="inlineStr">
        <is>
          <t>Live prices held</t>
        </is>
      </c>
      <c r="L8" s="54" t="inlineStr">
        <is>
          <t>101 of 119 variations</t>
        </is>
      </c>
    </row>
    <row r="9" ht="22" customHeight="1">
      <c r="C9" s="11" t="inlineStr">
        <is>
          <t>Stage</t>
        </is>
      </c>
      <c r="D9" s="54" t="inlineStr">
        <is>
          <t>Maintenance</t>
        </is>
      </c>
      <c r="K9" s="11" t="inlineStr">
        <is>
          <t>Blended price (Command Center)</t>
        </is>
      </c>
      <c r="L9" s="54" t="inlineStr">
        <is>
          <t>$32.90 - fee feed as of 2026-03-30, STALE</t>
        </is>
      </c>
    </row>
    <row r="10">
      <c r="C10" s="11" t="inlineStr">
        <is>
          <t>Total variations (SKUs)</t>
        </is>
      </c>
      <c r="D10" s="54" t="n">
        <v>118</v>
      </c>
      <c r="K10" s="11" t="inlineStr">
        <is>
          <t>Contribution / unit</t>
        </is>
      </c>
      <c r="L10" s="54" t="inlineStr">
        <is>
          <t>$9.00</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3.08x</t>
        </is>
      </c>
      <c r="E12" s="56" t="inlineStr">
        <is>
          <t>14.8%</t>
        </is>
      </c>
      <c r="I12" s="56" t="inlineStr">
        <is>
          <t>2.54x</t>
        </is>
      </c>
      <c r="M12" s="56" t="inlineStr">
        <is>
          <t>26</t>
        </is>
      </c>
      <c r="Q12" s="56" t="inlineStr">
        <is>
          <t>26</t>
        </is>
      </c>
      <c r="U12" s="56" t="inlineStr">
        <is>
          <t>1</t>
        </is>
      </c>
    </row>
    <row r="13">
      <c r="A13" s="57" t="inlineStr">
        <is>
          <t>daily sales, BFCM wk vs 30 days before (SellerBoard actual)</t>
        </is>
      </c>
      <c r="E13" s="57" t="inlineStr">
        <is>
          <t>vs 19.9%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(119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59" t="n">
        <v>33.95</v>
      </c>
      <c r="H18" s="32" t="inlineStr">
        <is>
          <t>Helium 10 Xray, 2026-10-13</t>
        </is>
      </c>
      <c r="I18" s="60" t="n">
        <v>33.95</v>
      </c>
      <c r="J18" s="61" t="inlineStr">
        <is>
          <t>2026-03-30</t>
        </is>
      </c>
      <c r="K18" s="33" t="n">
        <v>8.810000000000002</v>
      </c>
      <c r="L18" s="62" t="n">
        <v>0.259499263622975</v>
      </c>
      <c r="M18" s="63" t="n">
        <v>59</v>
      </c>
      <c r="N18" s="32" t="inlineStr">
        <is>
          <t>Active</t>
        </is>
      </c>
      <c r="O18" s="32" t="inlineStr">
        <is>
          <t>Yes (29%)</t>
        </is>
      </c>
      <c r="P18" s="64" t="n">
        <v>4.4</v>
      </c>
      <c r="Q18" s="63" t="n">
        <v>1628</v>
      </c>
      <c r="R18" s="63" t="n">
        <v>52125</v>
      </c>
      <c r="S18" s="63"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59" t="n">
        <v>29.95</v>
      </c>
      <c r="H19" s="32" t="inlineStr">
        <is>
          <t>Helium 10 Xray, 2026-10-13</t>
        </is>
      </c>
      <c r="I19" s="60" t="n">
        <v>29.95</v>
      </c>
      <c r="J19" s="61" t="inlineStr">
        <is>
          <t>2026-03-30</t>
        </is>
      </c>
      <c r="K19" s="33" t="n">
        <v>6.390000000000001</v>
      </c>
      <c r="L19" s="62" t="n">
        <v>0.2133555926544241</v>
      </c>
      <c r="M19" s="63" t="n">
        <v>39</v>
      </c>
      <c r="N19" s="32" t="inlineStr">
        <is>
          <t>Active</t>
        </is>
      </c>
      <c r="O19" s="32" t="inlineStr">
        <is>
          <t>Yes (38%)</t>
        </is>
      </c>
      <c r="P19" s="64" t="n">
        <v>4.4</v>
      </c>
      <c r="Q19" s="63" t="n">
        <v>1628</v>
      </c>
      <c r="R19" s="63" t="n">
        <v>52125</v>
      </c>
      <c r="S19" s="63"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59" t="n">
        <v>31.95</v>
      </c>
      <c r="H20" s="32" t="inlineStr">
        <is>
          <t>Helium 10 Xray, 2026-10-13</t>
        </is>
      </c>
      <c r="I20" s="60" t="n">
        <v>31.95</v>
      </c>
      <c r="J20" s="61" t="inlineStr">
        <is>
          <t>2026-03-30</t>
        </is>
      </c>
      <c r="K20" s="33" t="n">
        <v>8.780000000000001</v>
      </c>
      <c r="L20" s="62" t="n">
        <v>0.2748043818466354</v>
      </c>
      <c r="M20" s="63" t="n">
        <v>24</v>
      </c>
      <c r="N20" s="32" t="inlineStr">
        <is>
          <t>Active</t>
        </is>
      </c>
      <c r="O20" s="32" t="inlineStr">
        <is>
          <t>Yes (6%)</t>
        </is>
      </c>
      <c r="P20" s="64" t="n">
        <v>4.4</v>
      </c>
      <c r="Q20" s="63" t="n">
        <v>1628</v>
      </c>
      <c r="R20" s="63" t="n">
        <v>52121</v>
      </c>
      <c r="S20" s="63"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59" t="n">
        <v>33.95</v>
      </c>
      <c r="H21" s="32" t="inlineStr">
        <is>
          <t>Helium 10 Xray, 2026-10-13</t>
        </is>
      </c>
      <c r="I21" s="60" t="n">
        <v>33.95</v>
      </c>
      <c r="J21" s="61" t="inlineStr">
        <is>
          <t>2026-03-30</t>
        </is>
      </c>
      <c r="K21" s="33" t="n">
        <v>8.590000000000002</v>
      </c>
      <c r="L21" s="62" t="n">
        <v>0.253019145802651</v>
      </c>
      <c r="M21" s="63" t="n">
        <v>20</v>
      </c>
      <c r="N21" s="32" t="inlineStr">
        <is>
          <t>Active</t>
        </is>
      </c>
      <c r="O21" s="32" t="n"/>
      <c r="P21" s="64" t="n">
        <v>4.4</v>
      </c>
      <c r="Q21" s="63" t="n">
        <v>1628</v>
      </c>
      <c r="R21" s="63" t="n">
        <v>52125</v>
      </c>
      <c r="S21" s="63"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59" t="n">
        <v>29.95</v>
      </c>
      <c r="H22" s="32" t="inlineStr">
        <is>
          <t>Helium 10 Xray, 2026-10-13</t>
        </is>
      </c>
      <c r="I22" s="60" t="n">
        <v>29.95</v>
      </c>
      <c r="J22" s="61" t="inlineStr">
        <is>
          <t>2026-03-30</t>
        </is>
      </c>
      <c r="K22" s="33" t="n">
        <v>7.74</v>
      </c>
      <c r="L22" s="62" t="n">
        <v>0.2584307178631052</v>
      </c>
      <c r="M22" s="63" t="n">
        <v>15</v>
      </c>
      <c r="N22" s="32" t="inlineStr">
        <is>
          <t>Active</t>
        </is>
      </c>
      <c r="O22" s="32" t="inlineStr">
        <is>
          <t>Yes (6%)</t>
        </is>
      </c>
      <c r="P22" s="64" t="n">
        <v>4.4</v>
      </c>
      <c r="Q22" s="63" t="n">
        <v>1628</v>
      </c>
      <c r="R22" s="63" t="n">
        <v>52125</v>
      </c>
      <c r="S22" s="63"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59" t="n">
        <v>31.95</v>
      </c>
      <c r="H23" s="32" t="inlineStr">
        <is>
          <t>Helium 10 Xray, 2026-10-13</t>
        </is>
      </c>
      <c r="I23" s="60" t="n">
        <v>31.95</v>
      </c>
      <c r="J23" s="61" t="inlineStr">
        <is>
          <t>2026-03-30</t>
        </is>
      </c>
      <c r="K23" s="33" t="n">
        <v>8.880000000000001</v>
      </c>
      <c r="L23" s="62" t="n">
        <v>0.2779342723004695</v>
      </c>
      <c r="M23" s="63" t="n">
        <v>14</v>
      </c>
      <c r="N23" s="32" t="inlineStr">
        <is>
          <t>Active</t>
        </is>
      </c>
      <c r="O23" s="32" t="n"/>
      <c r="P23" s="64" t="n">
        <v>4.4</v>
      </c>
      <c r="Q23" s="63" t="n">
        <v>1628</v>
      </c>
      <c r="R23" s="63" t="n">
        <v>52121</v>
      </c>
      <c r="S23" s="63"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59" t="n">
        <v>31.95</v>
      </c>
      <c r="H24" s="32" t="inlineStr">
        <is>
          <t>Helium 10 Xray, 2026-10-13</t>
        </is>
      </c>
      <c r="I24" s="60" t="n">
        <v>31.95</v>
      </c>
      <c r="J24" s="61" t="inlineStr">
        <is>
          <t>2026-03-30</t>
        </is>
      </c>
      <c r="K24" s="33" t="n">
        <v>8.379999999999999</v>
      </c>
      <c r="L24" s="62" t="n">
        <v>0.2622848200312989</v>
      </c>
      <c r="M24" s="63" t="n">
        <v>11</v>
      </c>
      <c r="N24" s="32" t="inlineStr">
        <is>
          <t>Active</t>
        </is>
      </c>
      <c r="O24" s="32" t="n"/>
      <c r="P24" s="64" t="n">
        <v>4.4</v>
      </c>
      <c r="Q24" s="63" t="n">
        <v>1628</v>
      </c>
      <c r="R24" s="63" t="n">
        <v>52121</v>
      </c>
      <c r="S24" s="63"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59" t="n">
        <v>33.95</v>
      </c>
      <c r="H25" s="32" t="inlineStr">
        <is>
          <t>Helium 10 Xray, 2026-10-13</t>
        </is>
      </c>
      <c r="I25" s="60" t="n">
        <v>33.95</v>
      </c>
      <c r="J25" s="61" t="inlineStr">
        <is>
          <t>2026-03-30</t>
        </is>
      </c>
      <c r="K25" s="33" t="n">
        <v>9.210000000000003</v>
      </c>
      <c r="L25" s="62" t="n">
        <v>0.2712812960235641</v>
      </c>
      <c r="M25" s="63" t="n">
        <v>10</v>
      </c>
      <c r="N25" s="32" t="inlineStr">
        <is>
          <t>Active</t>
        </is>
      </c>
      <c r="O25" s="32" t="n"/>
      <c r="P25" s="64" t="n">
        <v>4.4</v>
      </c>
      <c r="Q25" s="63" t="n">
        <v>1628</v>
      </c>
      <c r="R25" s="63" t="n">
        <v>52125</v>
      </c>
      <c r="S25" s="63"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59" t="n">
        <v>33.95</v>
      </c>
      <c r="H26" s="32" t="inlineStr">
        <is>
          <t>Helium 10 Xray, 2026-10-13</t>
        </is>
      </c>
      <c r="I26" s="60" t="n">
        <v>33.95</v>
      </c>
      <c r="J26" s="61" t="inlineStr">
        <is>
          <t>2026-03-20</t>
        </is>
      </c>
      <c r="K26" s="33" t="n">
        <v>9.160000000000004</v>
      </c>
      <c r="L26" s="62" t="n">
        <v>0.2698085419734905</v>
      </c>
      <c r="M26" s="63" t="n">
        <v>10</v>
      </c>
      <c r="N26" s="32" t="inlineStr">
        <is>
          <t>Active</t>
        </is>
      </c>
      <c r="O26" s="32" t="n"/>
      <c r="P26" s="64" t="n">
        <v>4.4</v>
      </c>
      <c r="Q26" s="63" t="n">
        <v>1628</v>
      </c>
      <c r="R26" s="63" t="n">
        <v>52125</v>
      </c>
      <c r="S26" s="63"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59" t="n">
        <v>34.95</v>
      </c>
      <c r="H27" s="32" t="inlineStr">
        <is>
          <t>Helium 10 Xray, 2026-10-13</t>
        </is>
      </c>
      <c r="I27" s="60" t="n">
        <v>46.95</v>
      </c>
      <c r="J27" s="61" t="inlineStr">
        <is>
          <t>2026-03-30</t>
        </is>
      </c>
      <c r="K27" s="33" t="n">
        <v>21.63</v>
      </c>
      <c r="L27" s="62" t="n">
        <v>0.4607028753993611</v>
      </c>
      <c r="M27" s="63" t="n">
        <v>10</v>
      </c>
      <c r="N27" s="32" t="inlineStr">
        <is>
          <t>Active</t>
        </is>
      </c>
      <c r="O27" s="32" t="n"/>
      <c r="P27" s="64" t="n">
        <v>4.4</v>
      </c>
      <c r="Q27" s="63" t="n">
        <v>1628</v>
      </c>
      <c r="R27" s="63" t="n">
        <v>52125</v>
      </c>
      <c r="S27" s="63"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59" t="n">
        <v>27.95</v>
      </c>
      <c r="H28" s="32" t="inlineStr">
        <is>
          <t>Helium 10 Xray, 2026-10-13</t>
        </is>
      </c>
      <c r="I28" s="60" t="n">
        <v>27.95</v>
      </c>
      <c r="J28" s="61" t="inlineStr">
        <is>
          <t>2026-03-30</t>
        </is>
      </c>
      <c r="K28" s="33" t="n">
        <v>8.899999999999997</v>
      </c>
      <c r="L28" s="62" t="n">
        <v>0.3184257602862253</v>
      </c>
      <c r="M28" s="63" t="n">
        <v>10</v>
      </c>
      <c r="N28" s="32" t="inlineStr">
        <is>
          <t>Active</t>
        </is>
      </c>
      <c r="O28" s="32" t="n"/>
      <c r="P28" s="64" t="n">
        <v>4.4</v>
      </c>
      <c r="Q28" s="63" t="n">
        <v>1628</v>
      </c>
      <c r="R28" s="63" t="n">
        <v>52121</v>
      </c>
      <c r="S28" s="63"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59" t="n">
        <v>29.95</v>
      </c>
      <c r="H29" s="32" t="inlineStr">
        <is>
          <t>Helium 10 Xray, 2026-10-13</t>
        </is>
      </c>
      <c r="I29" s="60" t="n">
        <v>29.95</v>
      </c>
      <c r="J29" s="61" t="inlineStr">
        <is>
          <t>2026-03-30</t>
        </is>
      </c>
      <c r="K29" s="33" t="n">
        <v>8.32</v>
      </c>
      <c r="L29" s="62" t="n">
        <v>0.27779632721202</v>
      </c>
      <c r="M29" s="63" t="n">
        <v>9</v>
      </c>
      <c r="N29" s="32" t="inlineStr">
        <is>
          <t>Active</t>
        </is>
      </c>
      <c r="O29" s="32" t="n"/>
      <c r="P29" s="64" t="n">
        <v>4.4</v>
      </c>
      <c r="Q29" s="63" t="n">
        <v>1628</v>
      </c>
      <c r="R29" s="63" t="n">
        <v>52121</v>
      </c>
      <c r="S29" s="63"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59" t="n">
        <v>33.95</v>
      </c>
      <c r="H30" s="32" t="inlineStr">
        <is>
          <t>Helium 10 Xray, 2026-10-13</t>
        </is>
      </c>
      <c r="I30" s="60" t="n">
        <v>33.95</v>
      </c>
      <c r="J30" s="61" t="inlineStr">
        <is>
          <t>2026-03-30</t>
        </is>
      </c>
      <c r="K30" s="33" t="n">
        <v>8.670000000000002</v>
      </c>
      <c r="L30" s="62" t="n">
        <v>0.2553755522827688</v>
      </c>
      <c r="M30" s="63" t="n">
        <v>9</v>
      </c>
      <c r="N30" s="32" t="inlineStr">
        <is>
          <t>Active</t>
        </is>
      </c>
      <c r="O30" s="32" t="n"/>
      <c r="P30" s="64" t="n">
        <v>4.4</v>
      </c>
      <c r="Q30" s="63" t="n">
        <v>1628</v>
      </c>
      <c r="R30" s="63" t="n">
        <v>52125</v>
      </c>
      <c r="S30" s="63"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59" t="n">
        <v>31.95</v>
      </c>
      <c r="H31" s="32" t="inlineStr">
        <is>
          <t>Helium 10 Xray, 2026-10-13</t>
        </is>
      </c>
      <c r="I31" s="60" t="n">
        <v>32.95</v>
      </c>
      <c r="J31" s="61" t="inlineStr">
        <is>
          <t>2026-03-30</t>
        </is>
      </c>
      <c r="K31" s="33" t="n">
        <v>9.859999999999999</v>
      </c>
      <c r="L31" s="62" t="n">
        <v>0.2992412746585735</v>
      </c>
      <c r="M31" s="63" t="n">
        <v>9</v>
      </c>
      <c r="N31" s="32" t="inlineStr">
        <is>
          <t>Active</t>
        </is>
      </c>
      <c r="O31" s="32" t="n"/>
      <c r="P31" s="64" t="n">
        <v>4.4</v>
      </c>
      <c r="Q31" s="63" t="n">
        <v>1628</v>
      </c>
      <c r="R31" s="63" t="n">
        <v>52121</v>
      </c>
      <c r="S31" s="63"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59" t="n">
        <v>29.95</v>
      </c>
      <c r="H32" s="32" t="inlineStr">
        <is>
          <t>Helium 10 Xray, 2026-10-13</t>
        </is>
      </c>
      <c r="I32" s="60" t="n">
        <v>29.95</v>
      </c>
      <c r="J32" s="61" t="inlineStr">
        <is>
          <t>2026-03-30</t>
        </is>
      </c>
      <c r="K32" s="33" t="n">
        <v>6.270000000000001</v>
      </c>
      <c r="L32" s="62" t="n">
        <v>0.2093489148580969</v>
      </c>
      <c r="M32" s="63" t="n">
        <v>8</v>
      </c>
      <c r="N32" s="32" t="inlineStr">
        <is>
          <t>Active</t>
        </is>
      </c>
      <c r="O32" s="32" t="n"/>
      <c r="P32" s="64" t="n">
        <v>4.4</v>
      </c>
      <c r="Q32" s="63" t="n">
        <v>1628</v>
      </c>
      <c r="R32" s="63" t="n">
        <v>52125</v>
      </c>
      <c r="S32" s="63"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59" t="n">
        <v>31.95</v>
      </c>
      <c r="H33" s="32" t="inlineStr">
        <is>
          <t>Helium 10 Xray, 2026-10-13</t>
        </is>
      </c>
      <c r="I33" s="60" t="n">
        <v>31.95</v>
      </c>
      <c r="J33" s="61" t="inlineStr">
        <is>
          <t>2026-03-30</t>
        </is>
      </c>
      <c r="K33" s="33" t="n">
        <v>9.380000000000001</v>
      </c>
      <c r="L33" s="62" t="n">
        <v>0.2935837245696401</v>
      </c>
      <c r="M33" s="63" t="n">
        <v>8</v>
      </c>
      <c r="N33" s="32" t="inlineStr">
        <is>
          <t>Active</t>
        </is>
      </c>
      <c r="O33" s="32" t="n"/>
      <c r="P33" s="64" t="n">
        <v>4.4</v>
      </c>
      <c r="Q33" s="63" t="n">
        <v>1628</v>
      </c>
      <c r="R33" s="63" t="n">
        <v>52125</v>
      </c>
      <c r="S33" s="63"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0" t="n">
        <v>33.95</v>
      </c>
      <c r="J34" s="61" t="inlineStr">
        <is>
          <t>2026-03-30</t>
        </is>
      </c>
      <c r="K34" s="33" t="n">
        <v>8.640000000000002</v>
      </c>
      <c r="L34" s="62" t="n">
        <v>0.2544918998527246</v>
      </c>
      <c r="M34" s="63" t="n">
        <v>7</v>
      </c>
      <c r="N34" s="32" t="inlineStr">
        <is>
          <t>Inactive</t>
        </is>
      </c>
      <c r="O34" s="32" t="n"/>
      <c r="P34" s="64" t="n"/>
      <c r="Q34" s="63" t="n"/>
      <c r="R34" s="63" t="n"/>
      <c r="S34" s="63"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59" t="n">
        <v>33.95</v>
      </c>
      <c r="H35" s="32" t="inlineStr">
        <is>
          <t>Helium 10 Xray, 2026-10-13</t>
        </is>
      </c>
      <c r="I35" s="60" t="n">
        <v>33.95</v>
      </c>
      <c r="J35" s="61" t="inlineStr">
        <is>
          <t>2026-03-30</t>
        </is>
      </c>
      <c r="K35" s="33" t="n">
        <v>7.890000000000004</v>
      </c>
      <c r="L35" s="62" t="n">
        <v>0.2324005891016201</v>
      </c>
      <c r="M35" s="63" t="n">
        <v>7</v>
      </c>
      <c r="N35" s="32" t="inlineStr">
        <is>
          <t>Active</t>
        </is>
      </c>
      <c r="O35" s="32" t="n"/>
      <c r="P35" s="64" t="n">
        <v>4.4</v>
      </c>
      <c r="Q35" s="63" t="n">
        <v>1628</v>
      </c>
      <c r="R35" s="63" t="n">
        <v>52125</v>
      </c>
      <c r="S35" s="63"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59" t="n">
        <v>33.95</v>
      </c>
      <c r="H36" s="32" t="inlineStr">
        <is>
          <t>Helium 10 Xray, 2026-10-13</t>
        </is>
      </c>
      <c r="I36" s="60" t="n">
        <v>33.95</v>
      </c>
      <c r="J36" s="61" t="inlineStr">
        <is>
          <t>2026-03-30</t>
        </is>
      </c>
      <c r="K36" s="33" t="n">
        <v>7.900000000000002</v>
      </c>
      <c r="L36" s="62" t="n">
        <v>0.2326951399116348</v>
      </c>
      <c r="M36" s="63" t="n">
        <v>7</v>
      </c>
      <c r="N36" s="32" t="inlineStr">
        <is>
          <t>Active</t>
        </is>
      </c>
      <c r="O36" s="32" t="n"/>
      <c r="P36" s="64" t="n">
        <v>4.4</v>
      </c>
      <c r="Q36" s="63" t="n">
        <v>1628</v>
      </c>
      <c r="R36" s="63" t="n">
        <v>52125</v>
      </c>
      <c r="S36" s="63"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59" t="n">
        <v>35.95</v>
      </c>
      <c r="H37" s="32" t="inlineStr">
        <is>
          <t>Helium 10 Xray, 2026-10-13</t>
        </is>
      </c>
      <c r="I37" s="60" t="n">
        <v>31.95</v>
      </c>
      <c r="J37" s="61" t="inlineStr">
        <is>
          <t>2026-03-30</t>
        </is>
      </c>
      <c r="K37" s="33" t="n">
        <v>9.009999999999998</v>
      </c>
      <c r="L37" s="62" t="n">
        <v>0.2820031298904538</v>
      </c>
      <c r="M37" s="63" t="n">
        <v>7</v>
      </c>
      <c r="N37" s="32" t="inlineStr">
        <is>
          <t>Active</t>
        </is>
      </c>
      <c r="O37" s="32" t="n"/>
      <c r="P37" s="64" t="n">
        <v>4.4</v>
      </c>
      <c r="Q37" s="63" t="n">
        <v>1628</v>
      </c>
      <c r="R37" s="63" t="n">
        <v>52125</v>
      </c>
      <c r="S37" s="63"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59" t="n">
        <v>31.95</v>
      </c>
      <c r="H38" s="32" t="inlineStr">
        <is>
          <t>Helium 10 Xray, 2026-10-13</t>
        </is>
      </c>
      <c r="I38" s="60" t="n">
        <v>38.95</v>
      </c>
      <c r="J38" s="61" t="inlineStr">
        <is>
          <t>2026-03-30</t>
        </is>
      </c>
      <c r="K38" s="33" t="n">
        <v>14.56</v>
      </c>
      <c r="L38" s="62" t="n">
        <v>0.3738125802310654</v>
      </c>
      <c r="M38" s="63" t="n">
        <v>7</v>
      </c>
      <c r="N38" s="32" t="inlineStr">
        <is>
          <t>Active</t>
        </is>
      </c>
      <c r="O38" s="32" t="n"/>
      <c r="P38" s="64" t="n">
        <v>4.4</v>
      </c>
      <c r="Q38" s="63" t="n">
        <v>1628</v>
      </c>
      <c r="R38" s="63" t="n">
        <v>52121</v>
      </c>
      <c r="S38" s="63"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59" t="n">
        <v>31.95</v>
      </c>
      <c r="H39" s="32" t="inlineStr">
        <is>
          <t>Helium 10 Xray, 2026-10-13</t>
        </is>
      </c>
      <c r="I39" s="60" t="n">
        <v>31.95</v>
      </c>
      <c r="J39" s="61" t="inlineStr">
        <is>
          <t>2026-03-30</t>
        </is>
      </c>
      <c r="K39" s="33" t="n">
        <v>8.280000000000001</v>
      </c>
      <c r="L39" s="62" t="n">
        <v>0.2591549295774648</v>
      </c>
      <c r="M39" s="63" t="n">
        <v>7</v>
      </c>
      <c r="N39" s="32" t="inlineStr">
        <is>
          <t>Active</t>
        </is>
      </c>
      <c r="O39" s="32" t="n"/>
      <c r="P39" s="64" t="n">
        <v>4.4</v>
      </c>
      <c r="Q39" s="63" t="n">
        <v>1628</v>
      </c>
      <c r="R39" s="63" t="n">
        <v>52125</v>
      </c>
      <c r="S39" s="63"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59" t="n">
        <v>33.95</v>
      </c>
      <c r="H40" s="32" t="inlineStr">
        <is>
          <t>Helium 10 Xray, 2026-10-13</t>
        </is>
      </c>
      <c r="I40" s="60" t="n">
        <v>33.95</v>
      </c>
      <c r="J40" s="61" t="inlineStr">
        <is>
          <t>2026-03-30</t>
        </is>
      </c>
      <c r="K40" s="33" t="n">
        <v>8.360000000000001</v>
      </c>
      <c r="L40" s="62" t="n">
        <v>0.2462444771723122</v>
      </c>
      <c r="M40" s="63" t="n">
        <v>6</v>
      </c>
      <c r="N40" s="32" t="inlineStr">
        <is>
          <t>Active</t>
        </is>
      </c>
      <c r="O40" s="32" t="n"/>
      <c r="P40" s="64" t="n">
        <v>4.4</v>
      </c>
      <c r="Q40" s="63" t="n">
        <v>1628</v>
      </c>
      <c r="R40" s="63" t="n">
        <v>52121</v>
      </c>
      <c r="S40" s="63"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59" t="n">
        <v>33.95</v>
      </c>
      <c r="H41" s="32" t="inlineStr">
        <is>
          <t>Helium 10 Xray, 2026-10-13</t>
        </is>
      </c>
      <c r="I41" s="60" t="n">
        <v>33.95</v>
      </c>
      <c r="J41" s="61" t="inlineStr">
        <is>
          <t>2026-03-30</t>
        </is>
      </c>
      <c r="K41" s="33" t="n">
        <v>9.010000000000003</v>
      </c>
      <c r="L41" s="62" t="n">
        <v>0.2653902798232696</v>
      </c>
      <c r="M41" s="63" t="n">
        <v>6</v>
      </c>
      <c r="N41" s="32" t="inlineStr">
        <is>
          <t>Active</t>
        </is>
      </c>
      <c r="O41" s="32" t="n"/>
      <c r="P41" s="64" t="n">
        <v>4.4</v>
      </c>
      <c r="Q41" s="63" t="n">
        <v>1628</v>
      </c>
      <c r="R41" s="63" t="n">
        <v>52125</v>
      </c>
      <c r="S41" s="63"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59" t="n">
        <v>33.95</v>
      </c>
      <c r="H42" s="32" t="inlineStr">
        <is>
          <t>Helium 10 Xray, 2026-10-13</t>
        </is>
      </c>
      <c r="I42" s="60" t="n">
        <v>33.95</v>
      </c>
      <c r="J42" s="61" t="inlineStr">
        <is>
          <t>2026-03-30</t>
        </is>
      </c>
      <c r="K42" s="33" t="n">
        <v>8.030000000000003</v>
      </c>
      <c r="L42" s="62" t="n">
        <v>0.2365243004418263</v>
      </c>
      <c r="M42" s="63" t="n">
        <v>6</v>
      </c>
      <c r="N42" s="32" t="inlineStr">
        <is>
          <t>Active</t>
        </is>
      </c>
      <c r="O42" s="32" t="n"/>
      <c r="P42" s="64" t="n">
        <v>4.4</v>
      </c>
      <c r="Q42" s="63" t="n">
        <v>1628</v>
      </c>
      <c r="R42" s="63" t="n">
        <v>52125</v>
      </c>
      <c r="S42" s="63"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59" t="n">
        <v>33.95</v>
      </c>
      <c r="H43" s="32" t="inlineStr">
        <is>
          <t>Helium 10 Xray, 2026-10-13</t>
        </is>
      </c>
      <c r="I43" s="60" t="n">
        <v>33.95</v>
      </c>
      <c r="J43" s="61" t="inlineStr">
        <is>
          <t>2026-03-30</t>
        </is>
      </c>
      <c r="K43" s="33" t="n">
        <v>8.360000000000005</v>
      </c>
      <c r="L43" s="62" t="n">
        <v>0.2462444771723123</v>
      </c>
      <c r="M43" s="63" t="n">
        <v>6</v>
      </c>
      <c r="N43" s="32" t="inlineStr">
        <is>
          <t>Active</t>
        </is>
      </c>
      <c r="O43" s="32" t="n"/>
      <c r="P43" s="64" t="n">
        <v>4.4</v>
      </c>
      <c r="Q43" s="63" t="n">
        <v>1628</v>
      </c>
      <c r="R43" s="63" t="n">
        <v>52125</v>
      </c>
      <c r="S43" s="63"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59" t="n">
        <v>33.95</v>
      </c>
      <c r="H44" s="32" t="inlineStr">
        <is>
          <t>Helium 10 Xray, 2026-10-13</t>
        </is>
      </c>
      <c r="I44" s="60" t="n">
        <v>33.95</v>
      </c>
      <c r="J44" s="61" t="inlineStr">
        <is>
          <t>2026-03-30</t>
        </is>
      </c>
      <c r="K44" s="33" t="n">
        <v>7.910000000000002</v>
      </c>
      <c r="L44" s="62" t="n">
        <v>0.2329896907216495</v>
      </c>
      <c r="M44" s="63" t="n">
        <v>6</v>
      </c>
      <c r="N44" s="32" t="inlineStr">
        <is>
          <t>Active</t>
        </is>
      </c>
      <c r="O44" s="32" t="n"/>
      <c r="P44" s="64" t="n">
        <v>4.4</v>
      </c>
      <c r="Q44" s="63" t="n">
        <v>1628</v>
      </c>
      <c r="R44" s="63" t="n">
        <v>52125</v>
      </c>
      <c r="S44" s="63"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59" t="n">
        <v>31.95</v>
      </c>
      <c r="H45" s="32" t="inlineStr">
        <is>
          <t>Helium 10 Xray, 2026-10-13</t>
        </is>
      </c>
      <c r="I45" s="60" t="n">
        <v>31.95</v>
      </c>
      <c r="J45" s="61" t="inlineStr">
        <is>
          <t>2026-03-30</t>
        </is>
      </c>
      <c r="K45" s="33" t="n">
        <v>9.409999999999998</v>
      </c>
      <c r="L45" s="62" t="n">
        <v>0.2945226917057903</v>
      </c>
      <c r="M45" s="63" t="n">
        <v>6</v>
      </c>
      <c r="N45" s="32" t="inlineStr">
        <is>
          <t>Active</t>
        </is>
      </c>
      <c r="O45" s="32" t="n"/>
      <c r="P45" s="64" t="n">
        <v>4.4</v>
      </c>
      <c r="Q45" s="63" t="n">
        <v>1628</v>
      </c>
      <c r="R45" s="63" t="n">
        <v>52125</v>
      </c>
      <c r="S45" s="63"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59" t="n">
        <v>31.95</v>
      </c>
      <c r="H46" s="32" t="inlineStr">
        <is>
          <t>Helium 10 Xray, 2026-10-13</t>
        </is>
      </c>
      <c r="I46" s="60" t="n">
        <v>31.95</v>
      </c>
      <c r="J46" s="61" t="inlineStr">
        <is>
          <t>2026-03-30</t>
        </is>
      </c>
      <c r="K46" s="33" t="n">
        <v>9.369999999999997</v>
      </c>
      <c r="L46" s="62" t="n">
        <v>0.2932707355242566</v>
      </c>
      <c r="M46" s="63" t="n">
        <v>6</v>
      </c>
      <c r="N46" s="32" t="inlineStr">
        <is>
          <t>Active</t>
        </is>
      </c>
      <c r="O46" s="32" t="n"/>
      <c r="P46" s="64" t="n">
        <v>4.4</v>
      </c>
      <c r="Q46" s="63" t="n">
        <v>1628</v>
      </c>
      <c r="R46" s="63" t="n">
        <v>52125</v>
      </c>
      <c r="S46" s="63"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59" t="n">
        <v>31.95</v>
      </c>
      <c r="H47" s="32" t="inlineStr">
        <is>
          <t>Helium 10 Xray, 2026-10-13</t>
        </is>
      </c>
      <c r="I47" s="60" t="n">
        <v>31.95</v>
      </c>
      <c r="J47" s="61" t="inlineStr">
        <is>
          <t>2026-03-30</t>
        </is>
      </c>
      <c r="K47" s="33" t="n">
        <v>9.56</v>
      </c>
      <c r="L47" s="62" t="n">
        <v>0.2992175273865415</v>
      </c>
      <c r="M47" s="63" t="n">
        <v>6</v>
      </c>
      <c r="N47" s="32" t="inlineStr">
        <is>
          <t>Active</t>
        </is>
      </c>
      <c r="O47" s="32" t="n"/>
      <c r="P47" s="64" t="n">
        <v>4.4</v>
      </c>
      <c r="Q47" s="63" t="n">
        <v>1628</v>
      </c>
      <c r="R47" s="63" t="n">
        <v>52125</v>
      </c>
      <c r="S47" s="63"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59" t="n">
        <v>31.95</v>
      </c>
      <c r="H48" s="32" t="inlineStr">
        <is>
          <t>Helium 10 Xray, 2026-10-13</t>
        </is>
      </c>
      <c r="I48" s="60" t="n">
        <v>31.95</v>
      </c>
      <c r="J48" s="61" t="inlineStr">
        <is>
          <t>2026-03-30</t>
        </is>
      </c>
      <c r="K48" s="33" t="n">
        <v>8.760000000000002</v>
      </c>
      <c r="L48" s="62" t="n">
        <v>0.2741784037558686</v>
      </c>
      <c r="M48" s="63" t="n">
        <v>6</v>
      </c>
      <c r="N48" s="32" t="inlineStr">
        <is>
          <t>Active</t>
        </is>
      </c>
      <c r="O48" s="32" t="inlineStr">
        <is>
          <t>Yes (2%)</t>
        </is>
      </c>
      <c r="P48" s="64" t="n">
        <v>4.4</v>
      </c>
      <c r="Q48" s="63" t="n">
        <v>1628</v>
      </c>
      <c r="R48" s="63" t="n">
        <v>52125</v>
      </c>
      <c r="S48" s="63"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59" t="n">
        <v>29.95</v>
      </c>
      <c r="H49" s="32" t="inlineStr">
        <is>
          <t>Helium 10 Xray, 2026-10-13</t>
        </is>
      </c>
      <c r="I49" s="60" t="n">
        <v>29.95</v>
      </c>
      <c r="J49" s="61" t="inlineStr">
        <is>
          <t>2026-03-30</t>
        </is>
      </c>
      <c r="K49" s="33" t="n">
        <v>6.190000000000001</v>
      </c>
      <c r="L49" s="62" t="n">
        <v>0.2066777963272121</v>
      </c>
      <c r="M49" s="63" t="n">
        <v>5</v>
      </c>
      <c r="N49" s="32" t="inlineStr">
        <is>
          <t>Active</t>
        </is>
      </c>
      <c r="O49" s="32" t="n"/>
      <c r="P49" s="64" t="n">
        <v>4.4</v>
      </c>
      <c r="Q49" s="63" t="n">
        <v>1628</v>
      </c>
      <c r="R49" s="63" t="n">
        <v>52125</v>
      </c>
      <c r="S49" s="63"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59" t="n">
        <v>33.95</v>
      </c>
      <c r="H50" s="32" t="inlineStr">
        <is>
          <t>Helium 10 Xray, 2026-10-13</t>
        </is>
      </c>
      <c r="I50" s="60" t="n">
        <v>51.95</v>
      </c>
      <c r="J50" s="61" t="inlineStr">
        <is>
          <t>2026-03-10</t>
        </is>
      </c>
      <c r="K50" s="33" t="n">
        <v>23.69</v>
      </c>
      <c r="L50" s="62" t="n">
        <v>0.4560153994225217</v>
      </c>
      <c r="M50" s="63" t="n">
        <v>5</v>
      </c>
      <c r="N50" s="32" t="inlineStr">
        <is>
          <t>Active</t>
        </is>
      </c>
      <c r="O50" s="32" t="n"/>
      <c r="P50" s="64" t="n">
        <v>4.4</v>
      </c>
      <c r="Q50" s="63" t="n">
        <v>1628</v>
      </c>
      <c r="R50" s="63" t="n">
        <v>52125</v>
      </c>
      <c r="S50" s="63"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59" t="n">
        <v>33.95</v>
      </c>
      <c r="H51" s="32" t="inlineStr">
        <is>
          <t>Helium 10 Xray, 2026-10-13</t>
        </is>
      </c>
      <c r="I51" s="60" t="n">
        <v>31.95</v>
      </c>
      <c r="J51" s="61" t="inlineStr">
        <is>
          <t>2026-03-30</t>
        </is>
      </c>
      <c r="K51" s="33" t="n">
        <v>7.959999999999999</v>
      </c>
      <c r="L51" s="62" t="n">
        <v>0.2491392801251956</v>
      </c>
      <c r="M51" s="63" t="n">
        <v>5</v>
      </c>
      <c r="N51" s="32" t="inlineStr">
        <is>
          <t>Active</t>
        </is>
      </c>
      <c r="O51" s="32" t="n"/>
      <c r="P51" s="64" t="n">
        <v>4.4</v>
      </c>
      <c r="Q51" s="63" t="n">
        <v>1628</v>
      </c>
      <c r="R51" s="63" t="n">
        <v>52125</v>
      </c>
      <c r="S51" s="63"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59" t="n">
        <v>31.95</v>
      </c>
      <c r="H52" s="32" t="inlineStr">
        <is>
          <t>Helium 10 Xray, 2026-10-13</t>
        </is>
      </c>
      <c r="I52" s="60" t="n">
        <v>17.84</v>
      </c>
      <c r="J52" s="61" t="inlineStr">
        <is>
          <t>2026-03-30</t>
        </is>
      </c>
      <c r="K52" s="33" t="n">
        <v>-4.579999999999998</v>
      </c>
      <c r="L52" s="62" t="n">
        <v>-0.256726457399103</v>
      </c>
      <c r="M52" s="63" t="n">
        <v>5</v>
      </c>
      <c r="N52" s="32" t="inlineStr">
        <is>
          <t>Active</t>
        </is>
      </c>
      <c r="O52" s="32" t="n"/>
      <c r="P52" s="64" t="n">
        <v>4.4</v>
      </c>
      <c r="Q52" s="63" t="n">
        <v>1628</v>
      </c>
      <c r="R52" s="63" t="n">
        <v>52125</v>
      </c>
      <c r="S52" s="63"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59" t="n">
        <v>33.95</v>
      </c>
      <c r="H53" s="32" t="inlineStr">
        <is>
          <t>Helium 10 Xray, 2026-10-13</t>
        </is>
      </c>
      <c r="I53" s="60" t="n">
        <v>33.95</v>
      </c>
      <c r="J53" s="61" t="inlineStr">
        <is>
          <t>2026-03-04</t>
        </is>
      </c>
      <c r="K53" s="33" t="n">
        <v>8.910000000000002</v>
      </c>
      <c r="L53" s="62" t="n">
        <v>0.2624447717231222</v>
      </c>
      <c r="M53" s="63" t="n">
        <v>4</v>
      </c>
      <c r="N53" s="32" t="inlineStr">
        <is>
          <t>Active</t>
        </is>
      </c>
      <c r="O53" s="32" t="n"/>
      <c r="P53" s="64" t="n">
        <v>4.4</v>
      </c>
      <c r="Q53" s="63" t="n">
        <v>1628</v>
      </c>
      <c r="R53" s="63" t="n">
        <v>52121</v>
      </c>
      <c r="S53" s="63"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59" t="n">
        <v>33.95</v>
      </c>
      <c r="H54" s="32" t="inlineStr">
        <is>
          <t>Helium 10 Xray, 2026-10-13</t>
        </is>
      </c>
      <c r="I54" s="60" t="n">
        <v>33.95</v>
      </c>
      <c r="J54" s="61" t="inlineStr">
        <is>
          <t>2026-03-30</t>
        </is>
      </c>
      <c r="K54" s="33" t="n">
        <v>8.680000000000003</v>
      </c>
      <c r="L54" s="62" t="n">
        <v>0.2556701030927836</v>
      </c>
      <c r="M54" s="63" t="n">
        <v>4</v>
      </c>
      <c r="N54" s="32" t="inlineStr">
        <is>
          <t>Active</t>
        </is>
      </c>
      <c r="O54" s="32" t="n"/>
      <c r="P54" s="64" t="n">
        <v>4.4</v>
      </c>
      <c r="Q54" s="63" t="n">
        <v>1628</v>
      </c>
      <c r="R54" s="63" t="n">
        <v>52125</v>
      </c>
      <c r="S54" s="63"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59" t="n">
        <v>33.95</v>
      </c>
      <c r="H55" s="32" t="inlineStr">
        <is>
          <t>Helium 10 Xray, 2026-10-13</t>
        </is>
      </c>
      <c r="I55" s="60" t="n">
        <v>33.95</v>
      </c>
      <c r="J55" s="61" t="inlineStr">
        <is>
          <t>2026-03-30</t>
        </is>
      </c>
      <c r="K55" s="33" t="n">
        <v>8.300000000000002</v>
      </c>
      <c r="L55" s="62" t="n">
        <v>0.2444771723122239</v>
      </c>
      <c r="M55" s="63" t="n">
        <v>4</v>
      </c>
      <c r="N55" s="32" t="inlineStr">
        <is>
          <t>Active</t>
        </is>
      </c>
      <c r="O55" s="32" t="n"/>
      <c r="P55" s="64" t="n">
        <v>4</v>
      </c>
      <c r="Q55" s="63" t="n">
        <v>28</v>
      </c>
      <c r="R55" s="63" t="n">
        <v>1165488</v>
      </c>
      <c r="S55" s="63" t="n">
        <v>6</v>
      </c>
      <c r="T55" s="65"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59" t="n">
        <v>31.95</v>
      </c>
      <c r="H56" s="32" t="inlineStr">
        <is>
          <t>Helium 10 Xray, 2026-10-13</t>
        </is>
      </c>
      <c r="I56" s="60" t="n">
        <v>31.95</v>
      </c>
      <c r="J56" s="61" t="inlineStr">
        <is>
          <t>2026-03-30</t>
        </is>
      </c>
      <c r="K56" s="33" t="n">
        <v>9.009999999999998</v>
      </c>
      <c r="L56" s="62" t="n">
        <v>0.2820031298904538</v>
      </c>
      <c r="M56" s="63" t="n">
        <v>4</v>
      </c>
      <c r="N56" s="32" t="inlineStr">
        <is>
          <t>Active</t>
        </is>
      </c>
      <c r="O56" s="32" t="n"/>
      <c r="P56" s="64" t="n">
        <v>4.4</v>
      </c>
      <c r="Q56" s="63" t="n">
        <v>1628</v>
      </c>
      <c r="R56" s="63" t="n">
        <v>52121</v>
      </c>
      <c r="S56" s="63"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59" t="n">
        <v>31.95</v>
      </c>
      <c r="H57" s="32" t="inlineStr">
        <is>
          <t>Helium 10 Xray, 2026-10-13</t>
        </is>
      </c>
      <c r="I57" s="60" t="n">
        <v>31.95</v>
      </c>
      <c r="J57" s="61" t="inlineStr">
        <is>
          <t>2026-03-30</t>
        </is>
      </c>
      <c r="K57" s="33" t="n">
        <v>7.5</v>
      </c>
      <c r="L57" s="62" t="n">
        <v>0.2347417840375587</v>
      </c>
      <c r="M57" s="63" t="n">
        <v>4</v>
      </c>
      <c r="N57" s="32" t="inlineStr">
        <is>
          <t>Active</t>
        </is>
      </c>
      <c r="O57" s="32" t="n"/>
      <c r="P57" s="64" t="n">
        <v>4.4</v>
      </c>
      <c r="Q57" s="63" t="n">
        <v>1628</v>
      </c>
      <c r="R57" s="63" t="n">
        <v>52125</v>
      </c>
      <c r="S57" s="63"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59" t="n">
        <v>27.95</v>
      </c>
      <c r="H58" s="32" t="inlineStr">
        <is>
          <t>Helium 10 Xray, 2026-10-13</t>
        </is>
      </c>
      <c r="I58" s="60" t="n">
        <v>34.95</v>
      </c>
      <c r="J58" s="61" t="inlineStr">
        <is>
          <t>2026-03-30</t>
        </is>
      </c>
      <c r="K58" s="33" t="n">
        <v>13.71</v>
      </c>
      <c r="L58" s="62" t="n">
        <v>0.392274678111588</v>
      </c>
      <c r="M58" s="63" t="n">
        <v>4</v>
      </c>
      <c r="N58" s="32" t="inlineStr">
        <is>
          <t>Active</t>
        </is>
      </c>
      <c r="O58" s="32" t="n"/>
      <c r="P58" s="64" t="n">
        <v>4.4</v>
      </c>
      <c r="Q58" s="63" t="n">
        <v>1628</v>
      </c>
      <c r="R58" s="63" t="n">
        <v>52125</v>
      </c>
      <c r="S58" s="63"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59" t="n">
        <v>29.95</v>
      </c>
      <c r="H59" s="32" t="inlineStr">
        <is>
          <t>Helium 10 Xray, 2026-10-13</t>
        </is>
      </c>
      <c r="I59" s="60" t="n">
        <v>41.95</v>
      </c>
      <c r="J59" s="61" t="inlineStr">
        <is>
          <t>2026-03-30</t>
        </is>
      </c>
      <c r="K59" s="33" t="n">
        <v>16.89</v>
      </c>
      <c r="L59" s="62" t="n">
        <v>0.402622169249106</v>
      </c>
      <c r="M59" s="63" t="n">
        <v>3</v>
      </c>
      <c r="N59" s="32" t="inlineStr">
        <is>
          <t>Active</t>
        </is>
      </c>
      <c r="O59" s="32" t="n"/>
      <c r="P59" s="64" t="n">
        <v>4.4</v>
      </c>
      <c r="Q59" s="63" t="n">
        <v>1628</v>
      </c>
      <c r="R59" s="63" t="n">
        <v>52125</v>
      </c>
      <c r="S59" s="63"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59" t="n">
        <v>29.95</v>
      </c>
      <c r="H60" s="32" t="inlineStr">
        <is>
          <t>Helium 10 Xray, 2026-10-13</t>
        </is>
      </c>
      <c r="I60" s="60" t="n">
        <v>29.95</v>
      </c>
      <c r="J60" s="61" t="inlineStr">
        <is>
          <t>2026-03-30</t>
        </is>
      </c>
      <c r="K60" s="33" t="n">
        <v>7.699999999999999</v>
      </c>
      <c r="L60" s="62" t="n">
        <v>0.2570951585976627</v>
      </c>
      <c r="M60" s="63" t="n">
        <v>3</v>
      </c>
      <c r="N60" s="32" t="inlineStr">
        <is>
          <t>Active</t>
        </is>
      </c>
      <c r="O60" s="32" t="n"/>
      <c r="P60" s="64" t="n">
        <v>4.4</v>
      </c>
      <c r="Q60" s="63" t="n">
        <v>1628</v>
      </c>
      <c r="R60" s="63" t="n">
        <v>52121</v>
      </c>
      <c r="S60" s="63"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59" t="n">
        <v>29.95</v>
      </c>
      <c r="H61" s="32" t="inlineStr">
        <is>
          <t>Helium 10 Xray, 2026-10-13</t>
        </is>
      </c>
      <c r="I61" s="60" t="n">
        <v>36.95</v>
      </c>
      <c r="J61" s="61" t="inlineStr">
        <is>
          <t>2026-03-30</t>
        </is>
      </c>
      <c r="K61" s="33" t="n">
        <v>11.94</v>
      </c>
      <c r="L61" s="62" t="n">
        <v>0.3231393775372126</v>
      </c>
      <c r="M61" s="63" t="n">
        <v>3</v>
      </c>
      <c r="N61" s="32" t="n"/>
      <c r="O61" s="32" t="n"/>
      <c r="P61" s="64" t="n">
        <v>4.4</v>
      </c>
      <c r="Q61" s="63" t="n">
        <v>1628</v>
      </c>
      <c r="R61" s="63" t="n">
        <v>52125</v>
      </c>
      <c r="S61" s="63"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59" t="n">
        <v>29.95</v>
      </c>
      <c r="H62" s="32" t="inlineStr">
        <is>
          <t>Helium 10 Xray, 2026-10-13</t>
        </is>
      </c>
      <c r="I62" s="60" t="n">
        <v>32.95</v>
      </c>
      <c r="J62" s="61" t="inlineStr">
        <is>
          <t>2026-03-30</t>
        </is>
      </c>
      <c r="K62" s="33" t="n">
        <v>9.970000000000001</v>
      </c>
      <c r="L62" s="62" t="n">
        <v>0.3025796661608497</v>
      </c>
      <c r="M62" s="63" t="n">
        <v>3</v>
      </c>
      <c r="N62" s="32" t="inlineStr">
        <is>
          <t>Active</t>
        </is>
      </c>
      <c r="O62" s="32" t="n"/>
      <c r="P62" s="64" t="n">
        <v>4.4</v>
      </c>
      <c r="Q62" s="63" t="n">
        <v>1628</v>
      </c>
      <c r="R62" s="63" t="n">
        <v>52125</v>
      </c>
      <c r="S62" s="63"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59" t="n">
        <v>29.95</v>
      </c>
      <c r="H63" s="32" t="inlineStr">
        <is>
          <t>Helium 10 Xray, 2026-10-13</t>
        </is>
      </c>
      <c r="I63" s="60" t="n">
        <v>29.95</v>
      </c>
      <c r="J63" s="61" t="inlineStr">
        <is>
          <t>2026-03-30</t>
        </is>
      </c>
      <c r="K63" s="33" t="n">
        <v>7.56</v>
      </c>
      <c r="L63" s="62" t="n">
        <v>0.2524207011686144</v>
      </c>
      <c r="M63" s="63" t="n">
        <v>3</v>
      </c>
      <c r="N63" s="32" t="inlineStr">
        <is>
          <t>Active</t>
        </is>
      </c>
      <c r="O63" s="32" t="n"/>
      <c r="P63" s="64" t="n">
        <v>4.4</v>
      </c>
      <c r="Q63" s="63" t="n">
        <v>1628</v>
      </c>
      <c r="R63" s="63" t="n">
        <v>52125</v>
      </c>
      <c r="S63" s="63"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59" t="n">
        <v>29.95</v>
      </c>
      <c r="H64" s="32" t="inlineStr">
        <is>
          <t>Helium 10 Xray, 2026-10-13</t>
        </is>
      </c>
      <c r="I64" s="60" t="n">
        <v>17.97</v>
      </c>
      <c r="J64" s="61" t="inlineStr">
        <is>
          <t>2026-03-30</t>
        </is>
      </c>
      <c r="K64" s="33" t="n">
        <v>-4.470000000000001</v>
      </c>
      <c r="L64" s="62" t="n">
        <v>-0.2487479131886478</v>
      </c>
      <c r="M64" s="63" t="n">
        <v>3</v>
      </c>
      <c r="N64" s="32" t="inlineStr">
        <is>
          <t>Active</t>
        </is>
      </c>
      <c r="O64" s="32" t="n"/>
      <c r="P64" s="64" t="n">
        <v>4.4</v>
      </c>
      <c r="Q64" s="63" t="n">
        <v>1628</v>
      </c>
      <c r="R64" s="63" t="n">
        <v>52121</v>
      </c>
      <c r="S64" s="63"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59" t="n">
        <v>29.95</v>
      </c>
      <c r="H65" s="32" t="inlineStr">
        <is>
          <t>Helium 10 Xray, 2026-10-13</t>
        </is>
      </c>
      <c r="I65" s="60" t="n">
        <v>40.95</v>
      </c>
      <c r="J65" s="61" t="inlineStr">
        <is>
          <t>2026-03-30</t>
        </is>
      </c>
      <c r="K65" s="33" t="n">
        <v>16.43</v>
      </c>
      <c r="L65" s="62" t="n">
        <v>0.4012210012210012</v>
      </c>
      <c r="M65" s="63" t="n">
        <v>3</v>
      </c>
      <c r="N65" s="32" t="inlineStr">
        <is>
          <t>Active</t>
        </is>
      </c>
      <c r="O65" s="32" t="n"/>
      <c r="P65" s="64" t="n">
        <v>4.4</v>
      </c>
      <c r="Q65" s="63" t="n">
        <v>1628</v>
      </c>
      <c r="R65" s="63" t="n">
        <v>52125</v>
      </c>
      <c r="S65" s="63"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59" t="n">
        <v>31.95</v>
      </c>
      <c r="H66" s="32" t="inlineStr">
        <is>
          <t>Helium 10 Xray, 2026-10-13</t>
        </is>
      </c>
      <c r="I66" s="60" t="n">
        <v>31.95</v>
      </c>
      <c r="J66" s="61" t="inlineStr">
        <is>
          <t>2026-03-30</t>
        </is>
      </c>
      <c r="K66" s="33" t="n">
        <v>8.379999999999999</v>
      </c>
      <c r="L66" s="62" t="n">
        <v>0.2622848200312989</v>
      </c>
      <c r="M66" s="63" t="n">
        <v>3</v>
      </c>
      <c r="N66" s="32" t="inlineStr">
        <is>
          <t>Active</t>
        </is>
      </c>
      <c r="O66" s="32" t="n"/>
      <c r="P66" s="64" t="n">
        <v>4.4</v>
      </c>
      <c r="Q66" s="63" t="n">
        <v>1628</v>
      </c>
      <c r="R66" s="63" t="n">
        <v>52121</v>
      </c>
      <c r="S66" s="63"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59" t="n">
        <v>31.95</v>
      </c>
      <c r="H67" s="32" t="inlineStr">
        <is>
          <t>Helium 10 Xray, 2026-10-13</t>
        </is>
      </c>
      <c r="I67" s="60" t="n">
        <v>31.95</v>
      </c>
      <c r="J67" s="61" t="inlineStr">
        <is>
          <t>2026-03-30</t>
        </is>
      </c>
      <c r="K67" s="33" t="n">
        <v>8.049999999999999</v>
      </c>
      <c r="L67" s="62" t="n">
        <v>0.2519561815336463</v>
      </c>
      <c r="M67" s="63" t="n">
        <v>3</v>
      </c>
      <c r="N67" s="32" t="inlineStr">
        <is>
          <t>Active</t>
        </is>
      </c>
      <c r="O67" s="32" t="n"/>
      <c r="P67" s="64" t="n">
        <v>4.4</v>
      </c>
      <c r="Q67" s="63" t="n">
        <v>1628</v>
      </c>
      <c r="R67" s="63" t="n">
        <v>52125</v>
      </c>
      <c r="S67" s="63"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0" t="n">
        <v>31.95</v>
      </c>
      <c r="J68" s="61" t="inlineStr">
        <is>
          <t>2026-03-30</t>
        </is>
      </c>
      <c r="K68" s="33" t="n">
        <v>7.49</v>
      </c>
      <c r="L68" s="62" t="n">
        <v>0.2344287949921753</v>
      </c>
      <c r="M68" s="63" t="n">
        <v>3</v>
      </c>
      <c r="N68" s="32" t="inlineStr">
        <is>
          <t>Active</t>
        </is>
      </c>
      <c r="O68" s="32" t="n"/>
      <c r="P68" s="64" t="n"/>
      <c r="Q68" s="63" t="n"/>
      <c r="R68" s="63" t="n"/>
      <c r="S68" s="63"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59" t="n">
        <v>31.95</v>
      </c>
      <c r="H69" s="32" t="inlineStr">
        <is>
          <t>Helium 10 Xray, 2026-10-13</t>
        </is>
      </c>
      <c r="I69" s="60" t="n">
        <v>30.76</v>
      </c>
      <c r="J69" s="61" t="inlineStr">
        <is>
          <t>2026-03-30</t>
        </is>
      </c>
      <c r="K69" s="33" t="n">
        <v>6.520000000000001</v>
      </c>
      <c r="L69" s="62" t="n">
        <v>0.2119635890767231</v>
      </c>
      <c r="M69" s="63" t="n">
        <v>3</v>
      </c>
      <c r="N69" s="32" t="inlineStr">
        <is>
          <t>Active</t>
        </is>
      </c>
      <c r="O69" s="32" t="n"/>
      <c r="P69" s="64" t="n">
        <v>4.4</v>
      </c>
      <c r="Q69" s="63" t="n">
        <v>1628</v>
      </c>
      <c r="R69" s="63" t="n">
        <v>52125</v>
      </c>
      <c r="S69" s="63"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59" t="n">
        <v>27.95</v>
      </c>
      <c r="H70" s="32" t="inlineStr">
        <is>
          <t>Helium 10 Xray, 2026-10-13</t>
        </is>
      </c>
      <c r="I70" s="60" t="n">
        <v>27.95</v>
      </c>
      <c r="J70" s="61" t="inlineStr">
        <is>
          <t>2026-03-30</t>
        </is>
      </c>
      <c r="K70" s="33" t="n">
        <v>7.169999999999996</v>
      </c>
      <c r="L70" s="62" t="n">
        <v>0.2565295169946332</v>
      </c>
      <c r="M70" s="63" t="n">
        <v>3</v>
      </c>
      <c r="N70" s="32" t="inlineStr">
        <is>
          <t>Active</t>
        </is>
      </c>
      <c r="O70" s="32" t="n"/>
      <c r="P70" s="64" t="n">
        <v>4.4</v>
      </c>
      <c r="Q70" s="63" t="n">
        <v>1628</v>
      </c>
      <c r="R70" s="63" t="n">
        <v>52125</v>
      </c>
      <c r="S70" s="63"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59" t="n">
        <v>27.95</v>
      </c>
      <c r="H71" s="32" t="inlineStr">
        <is>
          <t>Helium 10 Xray, 2026-10-13</t>
        </is>
      </c>
      <c r="I71" s="60" t="n">
        <v>27.95</v>
      </c>
      <c r="J71" s="61" t="inlineStr">
        <is>
          <t>2026-03-30</t>
        </is>
      </c>
      <c r="K71" s="33" t="n">
        <v>9.529999999999998</v>
      </c>
      <c r="L71" s="62" t="n">
        <v>0.3409660107334525</v>
      </c>
      <c r="M71" s="63" t="n">
        <v>3</v>
      </c>
      <c r="N71" s="32" t="inlineStr">
        <is>
          <t>Active</t>
        </is>
      </c>
      <c r="O71" s="32" t="n"/>
      <c r="P71" s="64" t="n">
        <v>4.4</v>
      </c>
      <c r="Q71" s="63" t="n">
        <v>1628</v>
      </c>
      <c r="R71" s="63" t="n">
        <v>52125</v>
      </c>
      <c r="S71" s="63"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59" t="n">
        <v>27.95</v>
      </c>
      <c r="H72" s="32" t="inlineStr">
        <is>
          <t>Helium 10 Xray, 2026-10-13</t>
        </is>
      </c>
      <c r="I72" s="60" t="n">
        <v>36.95</v>
      </c>
      <c r="J72" s="61" t="inlineStr">
        <is>
          <t>2026-03-30</t>
        </is>
      </c>
      <c r="K72" s="33" t="n">
        <v>16.47000000000001</v>
      </c>
      <c r="L72" s="62" t="n">
        <v>0.4457374830852505</v>
      </c>
      <c r="M72" s="63" t="n">
        <v>3</v>
      </c>
      <c r="N72" s="32" t="inlineStr">
        <is>
          <t>Active</t>
        </is>
      </c>
      <c r="O72" s="32" t="n"/>
      <c r="P72" s="64" t="n">
        <v>4.4</v>
      </c>
      <c r="Q72" s="63" t="n">
        <v>1628</v>
      </c>
      <c r="R72" s="63" t="n">
        <v>52125</v>
      </c>
      <c r="S72" s="63"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59" t="n">
        <v>29.95</v>
      </c>
      <c r="H73" s="32" t="inlineStr">
        <is>
          <t>Helium 10 Xray, 2026-10-13</t>
        </is>
      </c>
      <c r="I73" s="60" t="n">
        <v>31.95</v>
      </c>
      <c r="J73" s="61" t="inlineStr">
        <is>
          <t>2026-03-30</t>
        </is>
      </c>
      <c r="K73" s="33" t="n">
        <v>9.270000000000001</v>
      </c>
      <c r="L73" s="62" t="n">
        <v>0.2901408450704226</v>
      </c>
      <c r="M73" s="63" t="n">
        <v>2</v>
      </c>
      <c r="N73" s="32" t="inlineStr">
        <is>
          <t>Active</t>
        </is>
      </c>
      <c r="O73" s="32" t="n"/>
      <c r="P73" s="64" t="n">
        <v>4.4</v>
      </c>
      <c r="Q73" s="63" t="n">
        <v>1628</v>
      </c>
      <c r="R73" s="63" t="n">
        <v>52125</v>
      </c>
      <c r="S73" s="63"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59" t="n">
        <v>29.95</v>
      </c>
      <c r="H74" s="32" t="inlineStr">
        <is>
          <t>Helium 10 Xray, 2026-10-13</t>
        </is>
      </c>
      <c r="I74" s="60" t="n">
        <v>41.95</v>
      </c>
      <c r="J74" s="61" t="inlineStr">
        <is>
          <t>2026-03-30</t>
        </is>
      </c>
      <c r="K74" s="33" t="n">
        <v>18.8</v>
      </c>
      <c r="L74" s="62" t="n">
        <v>0.4481525625744935</v>
      </c>
      <c r="M74" s="63" t="n">
        <v>2</v>
      </c>
      <c r="N74" s="32" t="inlineStr">
        <is>
          <t>Active</t>
        </is>
      </c>
      <c r="O74" s="32" t="n"/>
      <c r="P74" s="64" t="n">
        <v>4.4</v>
      </c>
      <c r="Q74" s="63" t="n">
        <v>1628</v>
      </c>
      <c r="R74" s="63" t="n">
        <v>52125</v>
      </c>
      <c r="S74" s="63"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59" t="n">
        <v>29.95</v>
      </c>
      <c r="H75" s="32" t="inlineStr">
        <is>
          <t>Helium 10 Xray, 2026-10-13</t>
        </is>
      </c>
      <c r="I75" s="60" t="n">
        <v>34.95</v>
      </c>
      <c r="J75" s="61" t="inlineStr">
        <is>
          <t>2026-03-30</t>
        </is>
      </c>
      <c r="K75" s="33" t="n">
        <v>11.91</v>
      </c>
      <c r="L75" s="62" t="n">
        <v>0.3407725321888412</v>
      </c>
      <c r="M75" s="63" t="n">
        <v>2</v>
      </c>
      <c r="N75" s="32" t="inlineStr">
        <is>
          <t>Active</t>
        </is>
      </c>
      <c r="O75" s="32" t="n"/>
      <c r="P75" s="64" t="n">
        <v>4.4</v>
      </c>
      <c r="Q75" s="63" t="n">
        <v>1628</v>
      </c>
      <c r="R75" s="63" t="n">
        <v>52125</v>
      </c>
      <c r="S75" s="63"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59" t="n">
        <v>33.95</v>
      </c>
      <c r="H76" s="32" t="inlineStr">
        <is>
          <t>Helium 10 Xray, 2026-10-13</t>
        </is>
      </c>
      <c r="I76" s="60" t="n">
        <v>33.95</v>
      </c>
      <c r="J76" s="61" t="inlineStr">
        <is>
          <t>2026-03-30</t>
        </is>
      </c>
      <c r="K76" s="33" t="n">
        <v>9.320000000000004</v>
      </c>
      <c r="L76" s="62" t="n">
        <v>0.2745213549337261</v>
      </c>
      <c r="M76" s="63" t="n">
        <v>2</v>
      </c>
      <c r="N76" s="32" t="inlineStr">
        <is>
          <t>Active</t>
        </is>
      </c>
      <c r="O76" s="32" t="n"/>
      <c r="P76" s="64" t="n">
        <v>4.4</v>
      </c>
      <c r="Q76" s="63" t="n">
        <v>1628</v>
      </c>
      <c r="R76" s="63" t="n">
        <v>52125</v>
      </c>
      <c r="S76" s="63"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59" t="n">
        <v>33.95</v>
      </c>
      <c r="H77" s="32" t="inlineStr">
        <is>
          <t>Helium 10 Xray, 2026-10-13</t>
        </is>
      </c>
      <c r="I77" s="60" t="n">
        <v>48.95</v>
      </c>
      <c r="J77" s="61" t="inlineStr">
        <is>
          <t>2026-03-30</t>
        </is>
      </c>
      <c r="K77" s="33" t="n">
        <v>22.08</v>
      </c>
      <c r="L77" s="62" t="n">
        <v>0.4510725229826352</v>
      </c>
      <c r="M77" s="63" t="n">
        <v>2</v>
      </c>
      <c r="N77" s="32" t="inlineStr">
        <is>
          <t>Active</t>
        </is>
      </c>
      <c r="O77" s="32" t="n"/>
      <c r="P77" s="64" t="n">
        <v>4.4</v>
      </c>
      <c r="Q77" s="63" t="n">
        <v>1628</v>
      </c>
      <c r="R77" s="63" t="n">
        <v>52125</v>
      </c>
      <c r="S77" s="63"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59" t="n">
        <v>31.95</v>
      </c>
      <c r="H78" s="32" t="inlineStr">
        <is>
          <t>Helium 10 Xray, 2026-10-13</t>
        </is>
      </c>
      <c r="I78" s="60" t="n">
        <v>31.95</v>
      </c>
      <c r="J78" s="61" t="inlineStr">
        <is>
          <t>2026-03-30</t>
        </is>
      </c>
      <c r="K78" s="33" t="n">
        <v>8.370000000000001</v>
      </c>
      <c r="L78" s="62" t="n">
        <v>0.2619718309859155</v>
      </c>
      <c r="M78" s="63" t="n">
        <v>2</v>
      </c>
      <c r="N78" s="32" t="inlineStr">
        <is>
          <t>Active</t>
        </is>
      </c>
      <c r="O78" s="32" t="n"/>
      <c r="P78" s="64" t="n">
        <v>4.4</v>
      </c>
      <c r="Q78" s="63" t="n">
        <v>1628</v>
      </c>
      <c r="R78" s="63" t="n">
        <v>52125</v>
      </c>
      <c r="S78" s="63"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59" t="n">
        <v>31.95</v>
      </c>
      <c r="H79" s="32" t="inlineStr">
        <is>
          <t>Helium 10 Xray, 2026-10-13</t>
        </is>
      </c>
      <c r="I79" s="60" t="n">
        <v>23.47</v>
      </c>
      <c r="J79" s="61" t="inlineStr">
        <is>
          <t>2026-03-30</t>
        </is>
      </c>
      <c r="K79" s="33" t="n">
        <v>0.4799999999999986</v>
      </c>
      <c r="L79" s="62" t="n">
        <v>0.02045164039198972</v>
      </c>
      <c r="M79" s="63" t="n">
        <v>2</v>
      </c>
      <c r="N79" s="32" t="inlineStr">
        <is>
          <t>Active</t>
        </is>
      </c>
      <c r="O79" s="32" t="n"/>
      <c r="P79" s="64" t="n">
        <v>4.4</v>
      </c>
      <c r="Q79" s="63" t="n">
        <v>1628</v>
      </c>
      <c r="R79" s="63" t="n">
        <v>52125</v>
      </c>
      <c r="S79" s="63"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59" t="n">
        <v>31.95</v>
      </c>
      <c r="H80" s="32" t="inlineStr">
        <is>
          <t>Helium 10 Xray, 2026-10-13</t>
        </is>
      </c>
      <c r="I80" s="60" t="n">
        <v>31.95</v>
      </c>
      <c r="J80" s="61" t="inlineStr">
        <is>
          <t>2026-03-30</t>
        </is>
      </c>
      <c r="K80" s="33" t="n">
        <v>8.160000000000002</v>
      </c>
      <c r="L80" s="62" t="n">
        <v>0.2553990610328639</v>
      </c>
      <c r="M80" s="63" t="n">
        <v>2</v>
      </c>
      <c r="N80" s="32" t="inlineStr">
        <is>
          <t>Active</t>
        </is>
      </c>
      <c r="O80" s="32" t="n"/>
      <c r="P80" s="64" t="n">
        <v>4.4</v>
      </c>
      <c r="Q80" s="63" t="n">
        <v>1628</v>
      </c>
      <c r="R80" s="63" t="n">
        <v>52125</v>
      </c>
      <c r="S80" s="63"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59" t="n">
        <v>31.95</v>
      </c>
      <c r="H81" s="32" t="inlineStr">
        <is>
          <t>Helium 10 Xray, 2026-10-13</t>
        </is>
      </c>
      <c r="I81" s="60" t="n">
        <v>31.95</v>
      </c>
      <c r="J81" s="61" t="inlineStr">
        <is>
          <t>2026-03-30</t>
        </is>
      </c>
      <c r="K81" s="33" t="n">
        <v>7.9</v>
      </c>
      <c r="L81" s="62" t="n">
        <v>0.2472613458528951</v>
      </c>
      <c r="M81" s="63" t="n">
        <v>2</v>
      </c>
      <c r="N81" s="32" t="inlineStr">
        <is>
          <t>Active</t>
        </is>
      </c>
      <c r="O81" s="32" t="n"/>
      <c r="P81" s="64" t="n">
        <v>4.4</v>
      </c>
      <c r="Q81" s="63" t="n">
        <v>1628</v>
      </c>
      <c r="R81" s="63" t="n">
        <v>52121</v>
      </c>
      <c r="S81" s="63"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59" t="n">
        <v>27.95</v>
      </c>
      <c r="H82" s="32" t="inlineStr">
        <is>
          <t>Helium 10 Xray, 2026-10-13</t>
        </is>
      </c>
      <c r="I82" s="60" t="n">
        <v>37.95</v>
      </c>
      <c r="J82" s="61" t="inlineStr">
        <is>
          <t>2026-03-30</t>
        </is>
      </c>
      <c r="K82" s="33" t="n">
        <v>17.14</v>
      </c>
      <c r="L82" s="62" t="n">
        <v>0.451646903820817</v>
      </c>
      <c r="M82" s="63" t="n">
        <v>2</v>
      </c>
      <c r="N82" s="32" t="inlineStr">
        <is>
          <t>Active</t>
        </is>
      </c>
      <c r="O82" s="32" t="n"/>
      <c r="P82" s="64" t="n">
        <v>4.4</v>
      </c>
      <c r="Q82" s="63" t="n">
        <v>1628</v>
      </c>
      <c r="R82" s="63" t="n">
        <v>52125</v>
      </c>
      <c r="S82" s="63"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59" t="n">
        <v>27.95</v>
      </c>
      <c r="H83" s="32" t="inlineStr">
        <is>
          <t>Helium 10 Xray, 2026-10-13</t>
        </is>
      </c>
      <c r="I83" s="60" t="n">
        <v>32.95</v>
      </c>
      <c r="J83" s="61" t="inlineStr">
        <is>
          <t>2026-03-30</t>
        </is>
      </c>
      <c r="K83" s="33" t="n">
        <v>12.29</v>
      </c>
      <c r="L83" s="62" t="n">
        <v>0.3729893778452201</v>
      </c>
      <c r="M83" s="63" t="n">
        <v>2</v>
      </c>
      <c r="N83" s="32" t="inlineStr">
        <is>
          <t>Active</t>
        </is>
      </c>
      <c r="O83" s="32" t="n"/>
      <c r="P83" s="64" t="n">
        <v>4.4</v>
      </c>
      <c r="Q83" s="63" t="n">
        <v>1628</v>
      </c>
      <c r="R83" s="63" t="n">
        <v>52125</v>
      </c>
      <c r="S83" s="63"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59" t="n">
        <v>27.95</v>
      </c>
      <c r="H84" s="32" t="inlineStr">
        <is>
          <t>Helium 10 Xray, 2026-10-13</t>
        </is>
      </c>
      <c r="I84" s="60" t="n">
        <v>22.49</v>
      </c>
      <c r="J84" s="61" t="inlineStr">
        <is>
          <t>2026-03-30</t>
        </is>
      </c>
      <c r="K84" s="33" t="n">
        <v>3.979999999999997</v>
      </c>
      <c r="L84" s="62" t="n">
        <v>0.1769675411293907</v>
      </c>
      <c r="M84" s="63" t="n">
        <v>2</v>
      </c>
      <c r="N84" s="32" t="inlineStr">
        <is>
          <t>Active</t>
        </is>
      </c>
      <c r="O84" s="32" t="n"/>
      <c r="P84" s="64" t="n">
        <v>4.4</v>
      </c>
      <c r="Q84" s="63" t="n">
        <v>1628</v>
      </c>
      <c r="R84" s="63" t="n">
        <v>52125</v>
      </c>
      <c r="S84" s="63"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59" t="n">
        <v>27.95</v>
      </c>
      <c r="H85" s="32" t="inlineStr">
        <is>
          <t>Helium 10 Xray, 2026-10-13</t>
        </is>
      </c>
      <c r="I85" s="60" t="n">
        <v>32.95</v>
      </c>
      <c r="J85" s="61" t="inlineStr">
        <is>
          <t>2026-03-30</t>
        </is>
      </c>
      <c r="K85" s="33" t="n">
        <v>12.45</v>
      </c>
      <c r="L85" s="62" t="n">
        <v>0.377845220030349</v>
      </c>
      <c r="M85" s="63" t="n">
        <v>2</v>
      </c>
      <c r="N85" s="32" t="inlineStr">
        <is>
          <t>Active</t>
        </is>
      </c>
      <c r="O85" s="32" t="n"/>
      <c r="P85" s="64" t="n">
        <v>4.4</v>
      </c>
      <c r="Q85" s="63" t="n">
        <v>1628</v>
      </c>
      <c r="R85" s="63" t="n">
        <v>52121</v>
      </c>
      <c r="S85" s="63"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59" t="n">
        <v>29.95</v>
      </c>
      <c r="H86" s="32" t="inlineStr">
        <is>
          <t>Helium 10 Xray, 2026-10-13</t>
        </is>
      </c>
      <c r="I86" s="60" t="n">
        <v>38.95</v>
      </c>
      <c r="J86" s="61" t="inlineStr">
        <is>
          <t>2026-03-30</t>
        </is>
      </c>
      <c r="K86" s="33" t="n">
        <v>15.47</v>
      </c>
      <c r="L86" s="62" t="n">
        <v>0.397175866495507</v>
      </c>
      <c r="M86" s="63" t="n">
        <v>1</v>
      </c>
      <c r="N86" s="32" t="inlineStr">
        <is>
          <t>Active</t>
        </is>
      </c>
      <c r="O86" s="32" t="n"/>
      <c r="P86" s="64" t="n">
        <v>4.4</v>
      </c>
      <c r="Q86" s="63" t="n">
        <v>1628</v>
      </c>
      <c r="R86" s="63" t="n">
        <v>52125</v>
      </c>
      <c r="S86" s="63"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59" t="n">
        <v>29.95</v>
      </c>
      <c r="H87" s="32" t="inlineStr">
        <is>
          <t>Helium 10 Xray, 2026-10-13</t>
        </is>
      </c>
      <c r="I87" s="60" t="n">
        <v>29.95</v>
      </c>
      <c r="J87" s="61" t="inlineStr">
        <is>
          <t>2026-03-30</t>
        </is>
      </c>
      <c r="K87" s="33" t="n">
        <v>7.73</v>
      </c>
      <c r="L87" s="62" t="n">
        <v>0.2580968280467446</v>
      </c>
      <c r="M87" s="63" t="n">
        <v>1</v>
      </c>
      <c r="N87" s="32" t="inlineStr">
        <is>
          <t>Active</t>
        </is>
      </c>
      <c r="O87" s="32" t="n"/>
      <c r="P87" s="64" t="n">
        <v>4.4</v>
      </c>
      <c r="Q87" s="63" t="n">
        <v>1628</v>
      </c>
      <c r="R87" s="63" t="n">
        <v>52125</v>
      </c>
      <c r="S87" s="63"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59" t="n">
        <v>29.95</v>
      </c>
      <c r="H88" s="32" t="inlineStr">
        <is>
          <t>Helium 10 Xray, 2026-10-13</t>
        </is>
      </c>
      <c r="I88" s="60" t="n">
        <v>29.95</v>
      </c>
      <c r="J88" s="61" t="inlineStr">
        <is>
          <t>2026-03-30</t>
        </is>
      </c>
      <c r="K88" s="33" t="n">
        <v>7.06</v>
      </c>
      <c r="L88" s="62" t="n">
        <v>0.2357262103505843</v>
      </c>
      <c r="M88" s="63" t="n">
        <v>1</v>
      </c>
      <c r="N88" s="32" t="inlineStr">
        <is>
          <t>Active</t>
        </is>
      </c>
      <c r="O88" s="32" t="n"/>
      <c r="P88" s="64" t="n">
        <v>4.4</v>
      </c>
      <c r="Q88" s="63" t="n">
        <v>1628</v>
      </c>
      <c r="R88" s="63" t="n">
        <v>52125</v>
      </c>
      <c r="S88" s="63"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59" t="n">
        <v>29.95</v>
      </c>
      <c r="H89" s="32" t="inlineStr">
        <is>
          <t>Helium 10 Xray, 2026-10-13</t>
        </is>
      </c>
      <c r="I89" s="60" t="n">
        <v>25.86</v>
      </c>
      <c r="J89" s="61" t="inlineStr">
        <is>
          <t>2026-03-30</t>
        </is>
      </c>
      <c r="K89" s="33" t="n">
        <v>2.67</v>
      </c>
      <c r="L89" s="62" t="n">
        <v>0.1032482598607889</v>
      </c>
      <c r="M89" s="63" t="n">
        <v>1</v>
      </c>
      <c r="N89" s="32" t="n"/>
      <c r="O89" s="32" t="n"/>
      <c r="P89" s="64" t="n">
        <v>4.4</v>
      </c>
      <c r="Q89" s="63" t="n">
        <v>1628</v>
      </c>
      <c r="R89" s="63" t="n">
        <v>52125</v>
      </c>
      <c r="S89" s="63"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59" t="n">
        <v>29.95</v>
      </c>
      <c r="H90" s="32" t="inlineStr">
        <is>
          <t>Helium 10 Xray, 2026-10-13</t>
        </is>
      </c>
      <c r="I90" s="60" t="n">
        <v>25.16</v>
      </c>
      <c r="J90" s="61" t="inlineStr">
        <is>
          <t>2026-03-30</t>
        </is>
      </c>
      <c r="K90" s="33" t="n">
        <v>1.98</v>
      </c>
      <c r="L90" s="62" t="n">
        <v>0.07869634340222577</v>
      </c>
      <c r="M90" s="63" t="n">
        <v>1</v>
      </c>
      <c r="N90" s="32" t="n"/>
      <c r="O90" s="32" t="n"/>
      <c r="P90" s="64" t="n">
        <v>4.4</v>
      </c>
      <c r="Q90" s="63" t="n">
        <v>1628</v>
      </c>
      <c r="R90" s="63" t="n">
        <v>52125</v>
      </c>
      <c r="S90" s="63"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59" t="n">
        <v>29.95</v>
      </c>
      <c r="H91" s="32" t="inlineStr">
        <is>
          <t>Helium 10 Xray, 2026-10-13</t>
        </is>
      </c>
      <c r="I91" s="60" t="n">
        <v>17.97</v>
      </c>
      <c r="J91" s="61" t="inlineStr">
        <is>
          <t>2026-03-30</t>
        </is>
      </c>
      <c r="K91" s="33" t="n">
        <v>-3.180000000000001</v>
      </c>
      <c r="L91" s="62" t="n">
        <v>-0.1769616026711186</v>
      </c>
      <c r="M91" s="63" t="n">
        <v>1</v>
      </c>
      <c r="N91" s="32" t="inlineStr">
        <is>
          <t>Active</t>
        </is>
      </c>
      <c r="O91" s="32" t="n"/>
      <c r="P91" s="64" t="n">
        <v>4.4</v>
      </c>
      <c r="Q91" s="63" t="n">
        <v>1628</v>
      </c>
      <c r="R91" s="63" t="n">
        <v>52125</v>
      </c>
      <c r="S91" s="63"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60" t="n">
        <v>33.95</v>
      </c>
      <c r="J92" s="61" t="inlineStr">
        <is>
          <t>2026-03-30</t>
        </is>
      </c>
      <c r="K92" s="33" t="n">
        <v>8.900000000000002</v>
      </c>
      <c r="L92" s="62" t="n">
        <v>0.2621502209131076</v>
      </c>
      <c r="M92" s="63" t="n">
        <v>1</v>
      </c>
      <c r="N92" s="32" t="inlineStr">
        <is>
          <t>Active</t>
        </is>
      </c>
      <c r="O92" s="32" t="n"/>
      <c r="P92" s="64" t="n"/>
      <c r="Q92" s="63" t="n"/>
      <c r="R92" s="63" t="n"/>
      <c r="S92" s="63"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60" t="n">
        <v>33.95</v>
      </c>
      <c r="J93" s="61" t="inlineStr">
        <is>
          <t>2026-03-30</t>
        </is>
      </c>
      <c r="K93" s="33" t="n">
        <v>8.370000000000005</v>
      </c>
      <c r="L93" s="62" t="n">
        <v>0.2465390279823271</v>
      </c>
      <c r="M93" s="63" t="n">
        <v>1</v>
      </c>
      <c r="N93" s="32" t="inlineStr">
        <is>
          <t>Inactive</t>
        </is>
      </c>
      <c r="O93" s="32" t="n"/>
      <c r="P93" s="64" t="n"/>
      <c r="Q93" s="63" t="n"/>
      <c r="R93" s="63" t="n"/>
      <c r="S93" s="63"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60" t="n">
        <v>31.95</v>
      </c>
      <c r="J94" s="61" t="inlineStr">
        <is>
          <t>2026-03-30</t>
        </is>
      </c>
      <c r="K94" s="33" t="n">
        <v>8.780000000000001</v>
      </c>
      <c r="L94" s="62" t="n">
        <v>0.2748043818466354</v>
      </c>
      <c r="M94" s="63" t="n">
        <v>1</v>
      </c>
      <c r="N94" s="32" t="inlineStr">
        <is>
          <t>Inactive</t>
        </is>
      </c>
      <c r="O94" s="32" t="n"/>
      <c r="P94" s="64" t="n"/>
      <c r="Q94" s="63" t="n"/>
      <c r="R94" s="63" t="n"/>
      <c r="S94" s="63"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59" t="n">
        <v>27.95</v>
      </c>
      <c r="H95" s="32" t="inlineStr">
        <is>
          <t>Helium 10 Xray, 2026-10-13</t>
        </is>
      </c>
      <c r="I95" s="60" t="n">
        <v>27.95</v>
      </c>
      <c r="J95" s="61" t="inlineStr">
        <is>
          <t>2026-03-30</t>
        </is>
      </c>
      <c r="K95" s="33" t="n">
        <v>9.27</v>
      </c>
      <c r="L95" s="62" t="n">
        <v>0.3316636851520572</v>
      </c>
      <c r="M95" s="63" t="n">
        <v>1</v>
      </c>
      <c r="N95" s="32" t="inlineStr">
        <is>
          <t>Active</t>
        </is>
      </c>
      <c r="O95" s="32" t="n"/>
      <c r="P95" s="64" t="n">
        <v>4.4</v>
      </c>
      <c r="Q95" s="63" t="n">
        <v>1628</v>
      </c>
      <c r="R95" s="63" t="n">
        <v>52125</v>
      </c>
      <c r="S95" s="63"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59" t="n">
        <v>27.95</v>
      </c>
      <c r="H96" s="32" t="inlineStr">
        <is>
          <t>Helium 10 Xray, 2026-10-13</t>
        </is>
      </c>
      <c r="I96" s="60" t="n">
        <v>29.95</v>
      </c>
      <c r="J96" s="61" t="inlineStr">
        <is>
          <t>2026-03-10</t>
        </is>
      </c>
      <c r="K96" s="33" t="n">
        <v>10.35</v>
      </c>
      <c r="L96" s="62" t="n">
        <v>0.3455759599332221</v>
      </c>
      <c r="M96" s="63" t="n">
        <v>1</v>
      </c>
      <c r="N96" s="32" t="inlineStr">
        <is>
          <t>Active</t>
        </is>
      </c>
      <c r="O96" s="32" t="n"/>
      <c r="P96" s="64" t="n">
        <v>4.4</v>
      </c>
      <c r="Q96" s="63" t="n">
        <v>1628</v>
      </c>
      <c r="R96" s="63" t="n">
        <v>52125</v>
      </c>
      <c r="S96" s="63"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59" t="n">
        <v>27.95</v>
      </c>
      <c r="H97" s="32" t="inlineStr">
        <is>
          <t>Helium 10 Xray, 2026-10-13</t>
        </is>
      </c>
      <c r="I97" s="60" t="n">
        <v>27.95</v>
      </c>
      <c r="J97" s="61" t="inlineStr">
        <is>
          <t>2026-03-30</t>
        </is>
      </c>
      <c r="K97" s="33" t="n">
        <v>9.659999999999997</v>
      </c>
      <c r="L97" s="62" t="n">
        <v>0.3456171735241502</v>
      </c>
      <c r="M97" s="63" t="n">
        <v>1</v>
      </c>
      <c r="N97" s="32" t="inlineStr">
        <is>
          <t>Active</t>
        </is>
      </c>
      <c r="O97" s="32" t="n"/>
      <c r="P97" s="64" t="n">
        <v>4.4</v>
      </c>
      <c r="Q97" s="63" t="n">
        <v>1628</v>
      </c>
      <c r="R97" s="63" t="n">
        <v>52121</v>
      </c>
      <c r="S97" s="63"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59" t="n">
        <v>27.95</v>
      </c>
      <c r="H98" s="32" t="inlineStr">
        <is>
          <t>Helium 10 Xray, 2026-10-13</t>
        </is>
      </c>
      <c r="I98" s="60" t="n">
        <v>22.49</v>
      </c>
      <c r="J98" s="61" t="inlineStr">
        <is>
          <t>2026-03-30</t>
        </is>
      </c>
      <c r="K98" s="33" t="n">
        <v>3.259999999999998</v>
      </c>
      <c r="L98" s="62" t="n">
        <v>0.1449533125833703</v>
      </c>
      <c r="M98" s="63" t="n">
        <v>1</v>
      </c>
      <c r="N98" s="32" t="inlineStr">
        <is>
          <t>Active</t>
        </is>
      </c>
      <c r="O98" s="32" t="n"/>
      <c r="P98" s="64" t="n">
        <v>4.4</v>
      </c>
      <c r="Q98" s="63" t="n">
        <v>1628</v>
      </c>
      <c r="R98" s="63" t="n">
        <v>52125</v>
      </c>
      <c r="S98" s="63"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59" t="n">
        <v>29.95</v>
      </c>
      <c r="H99" s="32" t="inlineStr">
        <is>
          <t>Helium 10 Xray, 2026-10-13</t>
        </is>
      </c>
      <c r="I99" s="60" t="n">
        <v>29.95</v>
      </c>
      <c r="J99" s="61" t="inlineStr">
        <is>
          <t>2026-03-30</t>
        </is>
      </c>
      <c r="K99" s="33" t="n">
        <v>7.23</v>
      </c>
      <c r="L99" s="62" t="n">
        <v>0.2414023372287145</v>
      </c>
      <c r="M99" s="63" t="n">
        <v>0</v>
      </c>
      <c r="N99" s="32" t="inlineStr">
        <is>
          <t>Active</t>
        </is>
      </c>
      <c r="O99" s="32" t="n"/>
      <c r="P99" s="64" t="n">
        <v>4.4</v>
      </c>
      <c r="Q99" s="63" t="n">
        <v>1628</v>
      </c>
      <c r="R99" s="63" t="n">
        <v>52125</v>
      </c>
      <c r="S99" s="63"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59" t="n">
        <v>29.95</v>
      </c>
      <c r="H100" s="32" t="inlineStr">
        <is>
          <t>Helium 10 Xray, 2026-10-13</t>
        </is>
      </c>
      <c r="I100" s="60" t="n">
        <v>29.95</v>
      </c>
      <c r="J100" s="61" t="inlineStr">
        <is>
          <t>2026-03-30</t>
        </is>
      </c>
      <c r="K100" s="33" t="n">
        <v>6.5</v>
      </c>
      <c r="L100" s="62" t="n">
        <v>0.2170283806343906</v>
      </c>
      <c r="M100" s="63" t="n">
        <v>0</v>
      </c>
      <c r="N100" s="32" t="inlineStr">
        <is>
          <t>Active</t>
        </is>
      </c>
      <c r="O100" s="32" t="n"/>
      <c r="P100" s="64" t="n">
        <v>4.4</v>
      </c>
      <c r="Q100" s="63" t="n">
        <v>1628</v>
      </c>
      <c r="R100" s="63" t="n">
        <v>52125</v>
      </c>
      <c r="S100" s="63"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60" t="n">
        <v>29.95</v>
      </c>
      <c r="J101" s="61" t="inlineStr">
        <is>
          <t>2026-03-30</t>
        </is>
      </c>
      <c r="K101" s="33" t="n">
        <v>6.740000000000002</v>
      </c>
      <c r="L101" s="62" t="n">
        <v>0.2250417362270451</v>
      </c>
      <c r="M101" s="63" t="n">
        <v>0</v>
      </c>
      <c r="N101" s="32" t="inlineStr">
        <is>
          <t>Active</t>
        </is>
      </c>
      <c r="O101" s="32" t="n"/>
      <c r="P101" s="64" t="n"/>
      <c r="Q101" s="63" t="n"/>
      <c r="R101" s="63" t="n"/>
      <c r="S101" s="63"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59" t="n">
        <v>29.95</v>
      </c>
      <c r="H102" s="32" t="inlineStr">
        <is>
          <t>Helium 10 Xray, 2026-10-13</t>
        </is>
      </c>
      <c r="I102" s="60" t="n">
        <v>29.95</v>
      </c>
      <c r="J102" s="61" t="inlineStr">
        <is>
          <t>2026-03-30</t>
        </is>
      </c>
      <c r="K102" s="33" t="n">
        <v>7.42</v>
      </c>
      <c r="L102" s="62" t="n">
        <v>0.2477462437395659</v>
      </c>
      <c r="M102" s="63" t="n">
        <v>0</v>
      </c>
      <c r="N102" s="32" t="inlineStr">
        <is>
          <t>Active</t>
        </is>
      </c>
      <c r="O102" s="32" t="n"/>
      <c r="P102" s="64" t="n">
        <v>4.4</v>
      </c>
      <c r="Q102" s="63" t="n">
        <v>1628</v>
      </c>
      <c r="R102" s="63" t="n">
        <v>52125</v>
      </c>
      <c r="S102" s="63"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59" t="n">
        <v>29.95</v>
      </c>
      <c r="H103" s="32" t="inlineStr">
        <is>
          <t>Helium 10 Xray, 2026-10-13</t>
        </is>
      </c>
      <c r="I103" s="60" t="n">
        <v>25.16</v>
      </c>
      <c r="J103" s="61" t="inlineStr">
        <is>
          <t>2026-03-30</t>
        </is>
      </c>
      <c r="K103" s="33" t="n">
        <v>2.119999999999999</v>
      </c>
      <c r="L103" s="62" t="n">
        <v>0.08426073131955482</v>
      </c>
      <c r="M103" s="63" t="n">
        <v>0</v>
      </c>
      <c r="N103" s="32" t="inlineStr">
        <is>
          <t>Active</t>
        </is>
      </c>
      <c r="O103" s="32" t="n"/>
      <c r="P103" s="64" t="n">
        <v>4.4</v>
      </c>
      <c r="Q103" s="63" t="n">
        <v>1628</v>
      </c>
      <c r="R103" s="63" t="n">
        <v>52125</v>
      </c>
      <c r="S103" s="63"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60" t="n">
        <v>17.97</v>
      </c>
      <c r="J104" s="61" t="inlineStr">
        <is>
          <t>2026-03-30</t>
        </is>
      </c>
      <c r="K104" s="33" t="n">
        <v>-4.219999999999999</v>
      </c>
      <c r="L104" s="62" t="n">
        <v>-0.234835837506956</v>
      </c>
      <c r="M104" s="63" t="n"/>
      <c r="N104" s="32" t="inlineStr">
        <is>
          <t>Inactive</t>
        </is>
      </c>
      <c r="O104" s="32" t="n"/>
      <c r="P104" s="64" t="n"/>
      <c r="Q104" s="63" t="n"/>
      <c r="R104" s="63" t="n"/>
      <c r="S104" s="63"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60" t="n">
        <v>17.97</v>
      </c>
      <c r="J105" s="61" t="inlineStr">
        <is>
          <t>2026-03-30</t>
        </is>
      </c>
      <c r="K105" s="33" t="n">
        <v>-4.539999999999999</v>
      </c>
      <c r="L105" s="62" t="n">
        <v>-0.2526432943795214</v>
      </c>
      <c r="M105" s="63" t="n"/>
      <c r="N105" s="32" t="inlineStr">
        <is>
          <t>Inactive</t>
        </is>
      </c>
      <c r="O105" s="32" t="n"/>
      <c r="P105" s="64" t="n"/>
      <c r="Q105" s="63" t="n"/>
      <c r="R105" s="63" t="n"/>
      <c r="S105" s="63"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59" t="n">
        <v>29.95</v>
      </c>
      <c r="H106" s="32" t="inlineStr">
        <is>
          <t>Helium 10 Xray, 2026-10-13</t>
        </is>
      </c>
      <c r="I106" s="60" t="n">
        <v>16.97</v>
      </c>
      <c r="J106" s="61" t="inlineStr">
        <is>
          <t>2026-03-30</t>
        </is>
      </c>
      <c r="K106" s="33" t="n">
        <v>-4.370000000000002</v>
      </c>
      <c r="L106" s="62" t="n">
        <v>-0.2575132586918092</v>
      </c>
      <c r="M106" s="63" t="n">
        <v>0</v>
      </c>
      <c r="N106" s="32" t="inlineStr">
        <is>
          <t>Active</t>
        </is>
      </c>
      <c r="O106" s="32" t="n"/>
      <c r="P106" s="64" t="n">
        <v>4.4</v>
      </c>
      <c r="Q106" s="63" t="n">
        <v>1628</v>
      </c>
      <c r="R106" s="63" t="n">
        <v>52125</v>
      </c>
      <c r="S106" s="63"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59" t="n">
        <v>29.95</v>
      </c>
      <c r="H107" s="32" t="inlineStr">
        <is>
          <t>Helium 10 Xray, 2026-10-13</t>
        </is>
      </c>
      <c r="I107" s="60" t="n">
        <v>20.96</v>
      </c>
      <c r="J107" s="61" t="inlineStr">
        <is>
          <t>2026-03-30</t>
        </is>
      </c>
      <c r="K107" s="33" t="n">
        <v>-0.5199999999999996</v>
      </c>
      <c r="L107" s="62" t="n">
        <v>-0.02480916030534349</v>
      </c>
      <c r="M107" s="63" t="n">
        <v>0</v>
      </c>
      <c r="N107" s="32" t="inlineStr">
        <is>
          <t>Active</t>
        </is>
      </c>
      <c r="O107" s="32" t="n"/>
      <c r="P107" s="64" t="n">
        <v>4.4</v>
      </c>
      <c r="Q107" s="63" t="n">
        <v>1628</v>
      </c>
      <c r="R107" s="63" t="n">
        <v>52125</v>
      </c>
      <c r="S107" s="63"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59" t="n">
        <v>29.95</v>
      </c>
      <c r="H108" s="32" t="inlineStr">
        <is>
          <t>Helium 10 Xray, 2026-10-13</t>
        </is>
      </c>
      <c r="I108" s="60" t="n">
        <v>29.95</v>
      </c>
      <c r="J108" s="61" t="inlineStr">
        <is>
          <t>2026-03-30</t>
        </is>
      </c>
      <c r="K108" s="33" t="n">
        <v>7.260000000000002</v>
      </c>
      <c r="L108" s="62" t="n">
        <v>0.2424040066777964</v>
      </c>
      <c r="M108" s="63" t="n">
        <v>0</v>
      </c>
      <c r="N108" s="32" t="inlineStr">
        <is>
          <t>Active</t>
        </is>
      </c>
      <c r="O108" s="32" t="n"/>
      <c r="P108" s="64" t="n">
        <v>4.4</v>
      </c>
      <c r="Q108" s="63" t="n">
        <v>1628</v>
      </c>
      <c r="R108" s="63" t="n">
        <v>52125</v>
      </c>
      <c r="S108" s="63"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2" t="n"/>
      <c r="M109" s="63" t="n"/>
      <c r="N109" s="32" t="inlineStr">
        <is>
          <t>Inactive</t>
        </is>
      </c>
      <c r="O109" s="32" t="n"/>
      <c r="P109" s="64" t="n"/>
      <c r="Q109" s="63" t="n"/>
      <c r="R109" s="63" t="n"/>
      <c r="S109" s="63"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60" t="n">
        <v>33.95</v>
      </c>
      <c r="J110" s="61" t="inlineStr">
        <is>
          <t>2026-03-30</t>
        </is>
      </c>
      <c r="K110" s="33" t="n">
        <v>8.570000000000002</v>
      </c>
      <c r="L110" s="62" t="n">
        <v>0.2524300441826215</v>
      </c>
      <c r="M110" s="63" t="n"/>
      <c r="N110" s="32" t="inlineStr">
        <is>
          <t>Inactive</t>
        </is>
      </c>
      <c r="O110" s="32" t="n"/>
      <c r="P110" s="64" t="n"/>
      <c r="Q110" s="63" t="n"/>
      <c r="R110" s="63" t="n"/>
      <c r="S110" s="63"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60" t="n">
        <v>33.95</v>
      </c>
      <c r="J111" s="61" t="inlineStr">
        <is>
          <t>2026-03-26</t>
        </is>
      </c>
      <c r="K111" s="33" t="n">
        <v>8.300000000000004</v>
      </c>
      <c r="L111" s="62" t="n">
        <v>0.244477172312224</v>
      </c>
      <c r="M111" s="63" t="n"/>
      <c r="N111" s="32" t="inlineStr">
        <is>
          <t>Inactive</t>
        </is>
      </c>
      <c r="O111" s="32" t="n"/>
      <c r="P111" s="64" t="n"/>
      <c r="Q111" s="63" t="n"/>
      <c r="R111" s="63" t="n"/>
      <c r="S111" s="63"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2" t="n"/>
      <c r="M112" s="63" t="n"/>
      <c r="N112" s="32" t="inlineStr">
        <is>
          <t>Inactive</t>
        </is>
      </c>
      <c r="O112" s="32" t="n"/>
      <c r="P112" s="64" t="n"/>
      <c r="Q112" s="63" t="n"/>
      <c r="R112" s="63" t="n"/>
      <c r="S112" s="63"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60" t="n">
        <v>33.95</v>
      </c>
      <c r="J113" s="61" t="inlineStr">
        <is>
          <t>2026-03-30</t>
        </is>
      </c>
      <c r="K113" s="33" t="n">
        <v>7.700000000000003</v>
      </c>
      <c r="L113" s="62" t="n">
        <v>0.2268041237113403</v>
      </c>
      <c r="M113" s="63" t="n"/>
      <c r="N113" s="32" t="inlineStr">
        <is>
          <t>Inactive</t>
        </is>
      </c>
      <c r="O113" s="32" t="n"/>
      <c r="P113" s="64" t="n"/>
      <c r="Q113" s="63" t="n"/>
      <c r="R113" s="63" t="n"/>
      <c r="S113" s="63"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60" t="n">
        <v>33.95</v>
      </c>
      <c r="J114" s="61" t="inlineStr">
        <is>
          <t>2026-03-30</t>
        </is>
      </c>
      <c r="K114" s="33" t="n">
        <v>7.490000000000002</v>
      </c>
      <c r="L114" s="62" t="n">
        <v>0.2206185567010309</v>
      </c>
      <c r="M114" s="63" t="n"/>
      <c r="N114" s="32" t="inlineStr">
        <is>
          <t>Inactive</t>
        </is>
      </c>
      <c r="O114" s="32" t="n"/>
      <c r="P114" s="64" t="n"/>
      <c r="Q114" s="63" t="n"/>
      <c r="R114" s="63" t="n"/>
      <c r="S114" s="63"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59" t="n">
        <v>33.95</v>
      </c>
      <c r="H115" s="32" t="inlineStr">
        <is>
          <t>Helium 10 Xray, 2026-10-13</t>
        </is>
      </c>
      <c r="I115" s="60" t="n">
        <v>33.95</v>
      </c>
      <c r="J115" s="61" t="inlineStr">
        <is>
          <t>2026-03-30</t>
        </is>
      </c>
      <c r="K115" s="33" t="n">
        <v>7.010000000000003</v>
      </c>
      <c r="L115" s="62" t="n">
        <v>0.2064801178203241</v>
      </c>
      <c r="M115" s="63" t="n"/>
      <c r="N115" s="32" t="inlineStr">
        <is>
          <t>Active</t>
        </is>
      </c>
      <c r="O115" s="32" t="n"/>
      <c r="P115" s="64" t="n">
        <v>4.4</v>
      </c>
      <c r="Q115" s="63" t="n">
        <v>1628</v>
      </c>
      <c r="R115" s="63" t="n">
        <v>52125</v>
      </c>
      <c r="S115" s="63"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60" t="n">
        <v>33.95</v>
      </c>
      <c r="J116" s="61" t="inlineStr">
        <is>
          <t>2026-03-30</t>
        </is>
      </c>
      <c r="K116" s="33" t="n">
        <v>7.510000000000003</v>
      </c>
      <c r="L116" s="62" t="n">
        <v>0.2212076583210605</v>
      </c>
      <c r="M116" s="63" t="n">
        <v>0</v>
      </c>
      <c r="N116" s="32" t="inlineStr">
        <is>
          <t>Inactive</t>
        </is>
      </c>
      <c r="O116" s="32" t="n"/>
      <c r="P116" s="64" t="n"/>
      <c r="Q116" s="63" t="n"/>
      <c r="R116" s="63" t="n"/>
      <c r="S116" s="63"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60" t="n">
        <v>33.95</v>
      </c>
      <c r="J117" s="61" t="inlineStr">
        <is>
          <t>2026-03-30</t>
        </is>
      </c>
      <c r="K117" s="33" t="n">
        <v>8.530000000000005</v>
      </c>
      <c r="L117" s="62" t="n">
        <v>0.2512518409425627</v>
      </c>
      <c r="M117" s="63" t="n">
        <v>0</v>
      </c>
      <c r="N117" s="32" t="inlineStr">
        <is>
          <t>Inactive</t>
        </is>
      </c>
      <c r="O117" s="32" t="n"/>
      <c r="P117" s="64" t="n"/>
      <c r="Q117" s="63" t="n"/>
      <c r="R117" s="63" t="n"/>
      <c r="S117" s="63"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2" t="n"/>
      <c r="M118" s="63" t="n"/>
      <c r="N118" s="32" t="inlineStr">
        <is>
          <t>Inactive</t>
        </is>
      </c>
      <c r="O118" s="32" t="n"/>
      <c r="P118" s="64" t="n"/>
      <c r="Q118" s="63" t="n"/>
      <c r="R118" s="63" t="n"/>
      <c r="S118" s="63"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59" t="n">
        <v>31.95</v>
      </c>
      <c r="H119" s="32" t="inlineStr">
        <is>
          <t>Helium 10 Xray, 2026-10-13</t>
        </is>
      </c>
      <c r="I119" s="60" t="n">
        <v>31.95</v>
      </c>
      <c r="J119" s="61" t="inlineStr">
        <is>
          <t>2026-03-30</t>
        </is>
      </c>
      <c r="K119" s="33" t="n">
        <v>7.6</v>
      </c>
      <c r="L119" s="62" t="n">
        <v>0.2378716744913928</v>
      </c>
      <c r="M119" s="63" t="n">
        <v>0</v>
      </c>
      <c r="N119" s="32" t="inlineStr">
        <is>
          <t>Active</t>
        </is>
      </c>
      <c r="O119" s="32" t="n"/>
      <c r="P119" s="64" t="n">
        <v>4.4</v>
      </c>
      <c r="Q119" s="63" t="n">
        <v>1628</v>
      </c>
      <c r="R119" s="63" t="n">
        <v>52125</v>
      </c>
      <c r="S119" s="63"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60" t="n">
        <v>31.95</v>
      </c>
      <c r="J120" s="61" t="inlineStr">
        <is>
          <t>2026-03-30</t>
        </is>
      </c>
      <c r="K120" s="33" t="n">
        <v>7.750000000000002</v>
      </c>
      <c r="L120" s="62" t="n">
        <v>0.242566510172144</v>
      </c>
      <c r="M120" s="63" t="n"/>
      <c r="N120" s="32" t="inlineStr">
        <is>
          <t>Inactive</t>
        </is>
      </c>
      <c r="O120" s="32" t="n"/>
      <c r="P120" s="64" t="n"/>
      <c r="Q120" s="63" t="n"/>
      <c r="R120" s="63" t="n"/>
      <c r="S120" s="63"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59" t="n">
        <v>27.95</v>
      </c>
      <c r="H121" s="32" t="inlineStr">
        <is>
          <t>Helium 10 Xray, 2026-10-13</t>
        </is>
      </c>
      <c r="I121" s="60" t="n">
        <v>34.95</v>
      </c>
      <c r="J121" s="61" t="inlineStr">
        <is>
          <t>2026-03-30</t>
        </is>
      </c>
      <c r="K121" s="33" t="n">
        <v>15.05</v>
      </c>
      <c r="L121" s="62" t="n">
        <v>0.4306151645207439</v>
      </c>
      <c r="M121" s="63" t="n">
        <v>0</v>
      </c>
      <c r="N121" s="32" t="inlineStr">
        <is>
          <t>Active</t>
        </is>
      </c>
      <c r="O121" s="32" t="n"/>
      <c r="P121" s="64" t="n">
        <v>4.4</v>
      </c>
      <c r="Q121" s="63" t="n">
        <v>1628</v>
      </c>
      <c r="R121" s="63" t="n">
        <v>52121</v>
      </c>
      <c r="S121" s="63"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59" t="n">
        <v>27.95</v>
      </c>
      <c r="H122" s="32" t="inlineStr">
        <is>
          <t>Helium 10 Xray, 2026-10-13</t>
        </is>
      </c>
      <c r="I122" s="60" t="n">
        <v>27.95</v>
      </c>
      <c r="J122" s="61" t="inlineStr">
        <is>
          <t>2026-03-30</t>
        </is>
      </c>
      <c r="K122" s="33" t="n">
        <v>8.409999999999998</v>
      </c>
      <c r="L122" s="62" t="n">
        <v>0.3008944543828264</v>
      </c>
      <c r="M122" s="63" t="n">
        <v>0</v>
      </c>
      <c r="N122" s="32" t="inlineStr">
        <is>
          <t>Active</t>
        </is>
      </c>
      <c r="O122" s="32" t="n"/>
      <c r="P122" s="64" t="n">
        <v>4.4</v>
      </c>
      <c r="Q122" s="63" t="n">
        <v>1628</v>
      </c>
      <c r="R122" s="63" t="n">
        <v>52125</v>
      </c>
      <c r="S122" s="63"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59" t="n">
        <v>27.95</v>
      </c>
      <c r="H123" s="32" t="inlineStr">
        <is>
          <t>Helium 10 Xray, 2026-10-13</t>
        </is>
      </c>
      <c r="I123" s="60" t="n">
        <v>34.95</v>
      </c>
      <c r="J123" s="61" t="inlineStr">
        <is>
          <t>2026-03-30</t>
        </is>
      </c>
      <c r="K123" s="33" t="n">
        <v>14.89</v>
      </c>
      <c r="L123" s="62" t="n">
        <v>0.4260371959942775</v>
      </c>
      <c r="M123" s="63" t="n">
        <v>0</v>
      </c>
      <c r="N123" s="32" t="inlineStr">
        <is>
          <t>Active</t>
        </is>
      </c>
      <c r="O123" s="32" t="n"/>
      <c r="P123" s="64" t="n">
        <v>4.4</v>
      </c>
      <c r="Q123" s="63" t="n">
        <v>1628</v>
      </c>
      <c r="R123" s="63" t="n">
        <v>52125</v>
      </c>
      <c r="S123" s="63"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59" t="n">
        <v>27.95</v>
      </c>
      <c r="H124" s="32" t="inlineStr">
        <is>
          <t>Helium 10 Xray, 2026-10-13</t>
        </is>
      </c>
      <c r="I124" s="60" t="n">
        <v>36.95</v>
      </c>
      <c r="J124" s="61" t="inlineStr">
        <is>
          <t>2026-03-30</t>
        </is>
      </c>
      <c r="K124" s="33" t="n">
        <v>14.25</v>
      </c>
      <c r="L124" s="62" t="n">
        <v>0.3856562922868742</v>
      </c>
      <c r="M124" s="63" t="n">
        <v>0</v>
      </c>
      <c r="N124" s="32" t="inlineStr">
        <is>
          <t>Active</t>
        </is>
      </c>
      <c r="O124" s="32" t="n"/>
      <c r="P124" s="64" t="n">
        <v>4.4</v>
      </c>
      <c r="Q124" s="63" t="n">
        <v>1628</v>
      </c>
      <c r="R124" s="63" t="n">
        <v>52125</v>
      </c>
      <c r="S124" s="63"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59" t="n">
        <v>27.95</v>
      </c>
      <c r="H125" s="32" t="inlineStr">
        <is>
          <t>Helium 10 Xray, 2026-10-13</t>
        </is>
      </c>
      <c r="I125" s="60" t="n">
        <v>30.95</v>
      </c>
      <c r="J125" s="61" t="inlineStr">
        <is>
          <t>2026-03-30</t>
        </is>
      </c>
      <c r="K125" s="33" t="n">
        <v>11.2</v>
      </c>
      <c r="L125" s="62" t="n">
        <v>0.3618739903069466</v>
      </c>
      <c r="M125" s="63" t="n">
        <v>0</v>
      </c>
      <c r="N125" s="32" t="inlineStr">
        <is>
          <t>Active</t>
        </is>
      </c>
      <c r="O125" s="32" t="n"/>
      <c r="P125" s="64" t="n">
        <v>4.4</v>
      </c>
      <c r="Q125" s="63" t="n">
        <v>1628</v>
      </c>
      <c r="R125" s="63" t="n">
        <v>52125</v>
      </c>
      <c r="S125" s="63"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59" t="n">
        <v>27.95</v>
      </c>
      <c r="H126" s="32" t="inlineStr">
        <is>
          <t>Helium 10 Xray, 2026-10-13</t>
        </is>
      </c>
      <c r="I126" s="60" t="n">
        <v>27.95</v>
      </c>
      <c r="J126" s="61" t="inlineStr">
        <is>
          <t>2026-03-30</t>
        </is>
      </c>
      <c r="K126" s="33" t="n">
        <v>8.519999999999996</v>
      </c>
      <c r="L126" s="62" t="n">
        <v>0.3048300536672628</v>
      </c>
      <c r="M126" s="63" t="n">
        <v>0</v>
      </c>
      <c r="N126" s="32" t="inlineStr">
        <is>
          <t>Active</t>
        </is>
      </c>
      <c r="O126" s="32" t="n"/>
      <c r="P126" s="64" t="n">
        <v>4.4</v>
      </c>
      <c r="Q126" s="63" t="n">
        <v>1628</v>
      </c>
      <c r="R126" s="63" t="n">
        <v>52121</v>
      </c>
      <c r="S126" s="63"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59" t="n">
        <v>27.95</v>
      </c>
      <c r="H127" s="32" t="inlineStr">
        <is>
          <t>Helium 10 Xray, 2026-10-13</t>
        </is>
      </c>
      <c r="I127" s="60" t="n">
        <v>34.95</v>
      </c>
      <c r="J127" s="61" t="inlineStr">
        <is>
          <t>2026-03-30</t>
        </is>
      </c>
      <c r="K127" s="33" t="n">
        <v>14.53</v>
      </c>
      <c r="L127" s="62" t="n">
        <v>0.4157367668097282</v>
      </c>
      <c r="M127" s="63" t="n">
        <v>0</v>
      </c>
      <c r="N127" s="32" t="inlineStr">
        <is>
          <t>Active</t>
        </is>
      </c>
      <c r="O127" s="32" t="n"/>
      <c r="P127" s="64" t="n">
        <v>4.4</v>
      </c>
      <c r="Q127" s="63" t="n">
        <v>1628</v>
      </c>
      <c r="R127" s="63" t="n">
        <v>52125</v>
      </c>
      <c r="S127" s="63"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59" t="n">
        <v>27.95</v>
      </c>
      <c r="H128" s="32" t="inlineStr">
        <is>
          <t>Helium 10 Xray, 2026-10-13</t>
        </is>
      </c>
      <c r="I128" s="60" t="n">
        <v>36.95</v>
      </c>
      <c r="J128" s="61" t="inlineStr">
        <is>
          <t>2026-03-30</t>
        </is>
      </c>
      <c r="K128" s="33" t="n">
        <v>16.3</v>
      </c>
      <c r="L128" s="62" t="n">
        <v>0.4411366711772667</v>
      </c>
      <c r="M128" s="63" t="n">
        <v>0</v>
      </c>
      <c r="N128" s="32" t="inlineStr">
        <is>
          <t>Active</t>
        </is>
      </c>
      <c r="O128" s="32" t="n"/>
      <c r="P128" s="64" t="n">
        <v>4.4</v>
      </c>
      <c r="Q128" s="63" t="n">
        <v>1628</v>
      </c>
      <c r="R128" s="63" t="n">
        <v>52125</v>
      </c>
      <c r="S128" s="63"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59" t="n">
        <v>27.95</v>
      </c>
      <c r="H129" s="32" t="inlineStr">
        <is>
          <t>Helium 10 Xray, 2026-10-13</t>
        </is>
      </c>
      <c r="I129" s="60" t="n">
        <v>27.95</v>
      </c>
      <c r="J129" s="61" t="inlineStr">
        <is>
          <t>2026-03-30</t>
        </is>
      </c>
      <c r="K129" s="33" t="n">
        <v>7.25</v>
      </c>
      <c r="L129" s="62" t="n">
        <v>0.259391771019678</v>
      </c>
      <c r="M129" s="63" t="n">
        <v>0</v>
      </c>
      <c r="N129" s="32" t="inlineStr">
        <is>
          <t>Active</t>
        </is>
      </c>
      <c r="O129" s="32" t="n"/>
      <c r="P129" s="64" t="n">
        <v>4.4</v>
      </c>
      <c r="Q129" s="63" t="n">
        <v>1628</v>
      </c>
      <c r="R129" s="63" t="n">
        <v>52125</v>
      </c>
      <c r="S129" s="63"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59" t="n">
        <v>27.95</v>
      </c>
      <c r="H130" s="32" t="inlineStr">
        <is>
          <t>Helium 10 Xray, 2026-10-13</t>
        </is>
      </c>
      <c r="I130" s="60" t="n">
        <v>29.95</v>
      </c>
      <c r="J130" s="61" t="inlineStr">
        <is>
          <t>2026-03-30</t>
        </is>
      </c>
      <c r="K130" s="33" t="n">
        <v>9.370000000000003</v>
      </c>
      <c r="L130" s="62" t="n">
        <v>0.3128547579298833</v>
      </c>
      <c r="M130" s="63" t="n">
        <v>0</v>
      </c>
      <c r="N130" s="32" t="inlineStr">
        <is>
          <t>Active</t>
        </is>
      </c>
      <c r="O130" s="32" t="n"/>
      <c r="P130" s="64" t="n">
        <v>4.4</v>
      </c>
      <c r="Q130" s="63" t="n">
        <v>1628</v>
      </c>
      <c r="R130" s="63" t="n">
        <v>52125</v>
      </c>
      <c r="S130" s="63"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59" t="n">
        <v>27.95</v>
      </c>
      <c r="H131" s="32" t="inlineStr">
        <is>
          <t>Helium 10 Xray, 2026-10-13</t>
        </is>
      </c>
      <c r="I131" s="60" t="n">
        <v>33.95</v>
      </c>
      <c r="J131" s="61" t="inlineStr">
        <is>
          <t>2026-03-30</t>
        </is>
      </c>
      <c r="K131" s="33" t="n">
        <v>12.77</v>
      </c>
      <c r="L131" s="62" t="n">
        <v>0.3761413843888072</v>
      </c>
      <c r="M131" s="63" t="n">
        <v>0</v>
      </c>
      <c r="N131" s="32" t="inlineStr">
        <is>
          <t>Active</t>
        </is>
      </c>
      <c r="O131" s="32" t="n"/>
      <c r="P131" s="64" t="n">
        <v>4.4</v>
      </c>
      <c r="Q131" s="63" t="n">
        <v>1628</v>
      </c>
      <c r="R131" s="63" t="n">
        <v>52125</v>
      </c>
      <c r="S131" s="63"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59" t="n">
        <v>27.95</v>
      </c>
      <c r="H132" s="32" t="inlineStr">
        <is>
          <t>Helium 10 Xray, 2026-10-13</t>
        </is>
      </c>
      <c r="I132" s="60" t="n">
        <v>27.95</v>
      </c>
      <c r="J132" s="61" t="inlineStr">
        <is>
          <t>2026-03-30</t>
        </is>
      </c>
      <c r="K132" s="33" t="n">
        <v>7.809999999999999</v>
      </c>
      <c r="L132" s="62" t="n">
        <v>0.279427549194991</v>
      </c>
      <c r="M132" s="63" t="n">
        <v>0</v>
      </c>
      <c r="N132" s="32" t="inlineStr">
        <is>
          <t>Active</t>
        </is>
      </c>
      <c r="O132" s="32" t="n"/>
      <c r="P132" s="64" t="n">
        <v>4.4</v>
      </c>
      <c r="Q132" s="63" t="n">
        <v>1628</v>
      </c>
      <c r="R132" s="63" t="n">
        <v>52125</v>
      </c>
      <c r="S132" s="63"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59" t="n">
        <v>27.95</v>
      </c>
      <c r="H133" s="32" t="inlineStr">
        <is>
          <t>Helium 10 Xray, 2026-10-13</t>
        </is>
      </c>
      <c r="I133" s="60" t="n">
        <v>34.95</v>
      </c>
      <c r="J133" s="61" t="inlineStr">
        <is>
          <t>2026-03-30</t>
        </is>
      </c>
      <c r="K133" s="33" t="n">
        <v>13.44</v>
      </c>
      <c r="L133" s="62" t="n">
        <v>0.384549356223176</v>
      </c>
      <c r="M133" s="63" t="n">
        <v>0</v>
      </c>
      <c r="N133" s="32" t="inlineStr">
        <is>
          <t>Active</t>
        </is>
      </c>
      <c r="O133" s="32" t="n"/>
      <c r="P133" s="64" t="n">
        <v>4.4</v>
      </c>
      <c r="Q133" s="63" t="n">
        <v>1628</v>
      </c>
      <c r="R133" s="63" t="n">
        <v>52125</v>
      </c>
      <c r="S133" s="63"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59" t="n">
        <v>27.95</v>
      </c>
      <c r="H134" s="32" t="inlineStr">
        <is>
          <t>Helium 10 Xray, 2026-10-13</t>
        </is>
      </c>
      <c r="I134" s="60" t="n">
        <v>16.97</v>
      </c>
      <c r="J134" s="61" t="inlineStr">
        <is>
          <t>2026-03-30</t>
        </is>
      </c>
      <c r="K134" s="33" t="n">
        <v>-1.900000000000002</v>
      </c>
      <c r="L134" s="62" t="n">
        <v>-0.1119622863877432</v>
      </c>
      <c r="M134" s="63" t="n">
        <v>0</v>
      </c>
      <c r="N134" s="32" t="inlineStr">
        <is>
          <t>Active</t>
        </is>
      </c>
      <c r="O134" s="32" t="n"/>
      <c r="P134" s="64" t="n">
        <v>4.4</v>
      </c>
      <c r="Q134" s="63" t="n">
        <v>1628</v>
      </c>
      <c r="R134" s="63" t="n">
        <v>52125</v>
      </c>
      <c r="S134" s="63"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59" t="n">
        <v>27.95</v>
      </c>
      <c r="H135" s="32" t="inlineStr">
        <is>
          <t>Helium 10 Xray, 2026-10-13</t>
        </is>
      </c>
      <c r="I135" s="60" t="n">
        <v>31.95</v>
      </c>
      <c r="J135" s="61" t="inlineStr">
        <is>
          <t>2026-03-30</t>
        </is>
      </c>
      <c r="K135" s="33" t="n">
        <v>11.64</v>
      </c>
      <c r="L135" s="62" t="n">
        <v>0.3643192488262911</v>
      </c>
      <c r="M135" s="63" t="n">
        <v>0</v>
      </c>
      <c r="N135" s="32" t="inlineStr">
        <is>
          <t>Active</t>
        </is>
      </c>
      <c r="O135" s="32" t="n"/>
      <c r="P135" s="64" t="n">
        <v>4.4</v>
      </c>
      <c r="Q135" s="63" t="n">
        <v>1628</v>
      </c>
      <c r="R135" s="63" t="n">
        <v>52125</v>
      </c>
      <c r="S135" s="63"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59" t="n">
        <v>27.95</v>
      </c>
      <c r="H136" s="32" t="inlineStr">
        <is>
          <t>Helium 10 Xray, 2026-10-13</t>
        </is>
      </c>
      <c r="I136" s="60" t="n">
        <v>27.95</v>
      </c>
      <c r="J136" s="61" t="inlineStr">
        <is>
          <t>2026-03-30</t>
        </is>
      </c>
      <c r="K136" s="33" t="n">
        <v>8.279999999999996</v>
      </c>
      <c r="L136" s="62" t="n">
        <v>0.2962432915921286</v>
      </c>
      <c r="M136" s="63" t="n">
        <v>0</v>
      </c>
      <c r="N136" s="32" t="inlineStr">
        <is>
          <t>Active</t>
        </is>
      </c>
      <c r="O136" s="32" t="n"/>
      <c r="P136" s="64" t="n">
        <v>4.4</v>
      </c>
      <c r="Q136" s="63" t="n">
        <v>1628</v>
      </c>
      <c r="R136" s="63" t="n">
        <v>52125</v>
      </c>
      <c r="S136" s="63" t="n">
        <v>5</v>
      </c>
      <c r="T136" s="32" t="n"/>
    </row>
    <row r="138" ht="20" customHeight="1">
      <c r="A138" s="53" t="inlineStr">
        <is>
          <t>3 · OUR BFCM 2025 RESULT &amp; EVENT VISIBILITY</t>
        </is>
      </c>
    </row>
    <row r="139">
      <c r="A139" s="66" t="inlineStr">
        <is>
          <t>Window</t>
        </is>
      </c>
      <c r="B139" s="67" t="n"/>
      <c r="C139" s="68" t="n"/>
      <c r="D139" s="66" t="inlineStr">
        <is>
          <t>Ad spend</t>
        </is>
      </c>
      <c r="E139" s="66" t="inlineStr">
        <is>
          <t>Ad sales</t>
        </is>
      </c>
      <c r="F139" s="66" t="inlineStr">
        <is>
          <t>ACoS</t>
        </is>
      </c>
      <c r="G139" s="66" t="inlineStr">
        <is>
          <t>TACoS</t>
        </is>
      </c>
      <c r="H139" s="66" t="inlineStr">
        <is>
          <t>Total sales (derived)</t>
        </is>
      </c>
      <c r="J139" s="66" t="inlineStr">
        <is>
          <t>Ad orders</t>
        </is>
      </c>
      <c r="K139" s="66" t="inlineStr">
        <is>
          <t>CVR</t>
        </is>
      </c>
    </row>
    <row r="140">
      <c r="A140" s="69" t="inlineStr">
        <is>
          <t>Pre-event Oct 21 - Nov 19, 2025 (30d)</t>
        </is>
      </c>
      <c r="B140" s="67" t="n"/>
      <c r="C140" s="68" t="n"/>
      <c r="D140" s="70" t="n">
        <v>5199.1</v>
      </c>
      <c r="E140" s="70" t="n">
        <v>14337.74</v>
      </c>
      <c r="F140" s="71" t="n">
        <v>36.3</v>
      </c>
      <c r="G140" s="71" t="n">
        <v>19.89891895719269</v>
      </c>
      <c r="H140" s="70" t="n">
        <v>26127.55</v>
      </c>
      <c r="J140" s="72" t="n">
        <v>432</v>
      </c>
      <c r="K140" s="73" t="n">
        <v>14.29</v>
      </c>
    </row>
    <row r="141">
      <c r="A141" s="69" t="inlineStr">
        <is>
          <t>BFCM week Nov 20 - Dec 1, 2025 (12d)</t>
        </is>
      </c>
      <c r="B141" s="67" t="n"/>
      <c r="C141" s="68" t="n"/>
      <c r="D141" s="70" t="n">
        <v>4785.809999999999</v>
      </c>
      <c r="E141" s="70" t="n">
        <v>19198.22</v>
      </c>
      <c r="F141" s="71" t="n">
        <v>24.9</v>
      </c>
      <c r="G141" s="71" t="n">
        <v>14.84492240692087</v>
      </c>
      <c r="H141" s="70" t="n">
        <v>32238.7</v>
      </c>
      <c r="J141" s="72" t="n">
        <v>618</v>
      </c>
      <c r="K141" s="73" t="n">
        <v>18.49</v>
      </c>
    </row>
    <row r="142">
      <c r="A142" s="69" t="inlineStr">
        <is>
          <t>December 2 - 31, 2025 (30d)</t>
        </is>
      </c>
      <c r="B142" s="67" t="n"/>
      <c r="C142" s="68" t="n"/>
      <c r="D142" s="70" t="n">
        <v>11052.01</v>
      </c>
      <c r="E142" s="70" t="n">
        <v>39026.04999999999</v>
      </c>
      <c r="F142" s="71" t="n">
        <v>28.3</v>
      </c>
      <c r="G142" s="71" t="n">
        <v>16.7518607856755</v>
      </c>
      <c r="H142" s="70" t="n">
        <v>65974.82000000001</v>
      </c>
      <c r="J142" s="72" t="n">
        <v>1227</v>
      </c>
      <c r="K142" s="73" t="n">
        <v>16.93</v>
      </c>
    </row>
    <row r="144">
      <c r="A144" s="66" t="inlineStr">
        <is>
          <t>Actual sales (SellerBoard)</t>
        </is>
      </c>
      <c r="B144" s="67" t="n"/>
      <c r="C144" s="68" t="n"/>
      <c r="D144" s="66" t="inlineStr">
        <is>
          <t>Sales</t>
        </is>
      </c>
      <c r="E144" s="66" t="inlineStr">
        <is>
          <t>Units</t>
        </is>
      </c>
      <c r="F144" s="66" t="inlineStr">
        <is>
          <t>Organic units</t>
        </is>
      </c>
      <c r="G144" s="66" t="inlineStr">
        <is>
          <t>Ad units</t>
        </is>
      </c>
      <c r="H144" s="66" t="inlineStr">
        <is>
          <t>Ad cost</t>
        </is>
      </c>
      <c r="J144" s="66" t="inlineStr">
        <is>
          <t>TACoS (actual)</t>
        </is>
      </c>
      <c r="K144" s="66" t="inlineStr">
        <is>
          <t>Sessions</t>
        </is>
      </c>
      <c r="L144" s="66" t="inlineStr">
        <is>
          <t>Unit session %</t>
        </is>
      </c>
      <c r="M144" s="66" t="inlineStr">
        <is>
          <t>Avg price</t>
        </is>
      </c>
      <c r="N144" s="66" t="inlineStr">
        <is>
          <t>Refunds</t>
        </is>
      </c>
    </row>
    <row r="145">
      <c r="A145" s="69" t="inlineStr">
        <is>
          <t>Pre-event Oct 21 - Nov 19, 2025 (30d)</t>
        </is>
      </c>
      <c r="B145" s="67" t="n"/>
      <c r="C145" s="68" t="n"/>
      <c r="D145" s="70" t="n">
        <v>26325.25</v>
      </c>
      <c r="E145" s="72" t="n">
        <v>797</v>
      </c>
      <c r="F145" s="72" t="n">
        <v>658</v>
      </c>
      <c r="G145" s="72" t="n">
        <v>139</v>
      </c>
      <c r="H145" s="70" t="n">
        <v>5222.87</v>
      </c>
      <c r="J145" s="74" t="n">
        <v>0.198397736013903</v>
      </c>
      <c r="K145" s="72" t="n">
        <v>12231</v>
      </c>
      <c r="L145" s="74" t="n">
        <v>0.06516229253536097</v>
      </c>
      <c r="M145" s="75" t="n">
        <v>33.03042659974906</v>
      </c>
      <c r="N145" s="72" t="n">
        <v>44</v>
      </c>
    </row>
    <row r="146">
      <c r="A146" s="69" t="inlineStr">
        <is>
          <t>BFCM week Nov 20 - Dec 1, 2025 (12d)</t>
        </is>
      </c>
      <c r="B146" s="67" t="n"/>
      <c r="C146" s="68" t="n"/>
      <c r="D146" s="70" t="n">
        <v>32391.03</v>
      </c>
      <c r="E146" s="72" t="n">
        <v>1072</v>
      </c>
      <c r="F146" s="72" t="n">
        <v>927</v>
      </c>
      <c r="G146" s="72" t="n">
        <v>145</v>
      </c>
      <c r="H146" s="70" t="n">
        <v>4831.48</v>
      </c>
      <c r="J146" s="74" t="n">
        <v>0.1491610485989485</v>
      </c>
      <c r="K146" s="72" t="n">
        <v>13542</v>
      </c>
      <c r="L146" s="74" t="n">
        <v>0.07916112834145621</v>
      </c>
      <c r="M146" s="75" t="n">
        <v>30.21551305970149</v>
      </c>
      <c r="N146" s="72" t="n">
        <v>10</v>
      </c>
    </row>
    <row r="147">
      <c r="A147" s="69" t="inlineStr">
        <is>
          <t>December 2 - 31, 2025 (30d)</t>
        </is>
      </c>
      <c r="B147" s="67" t="n"/>
      <c r="C147" s="68" t="n"/>
      <c r="D147" s="70" t="n">
        <v>66735.47</v>
      </c>
      <c r="E147" s="72" t="n">
        <v>2149</v>
      </c>
      <c r="F147" s="72" t="n">
        <v>1781</v>
      </c>
      <c r="G147" s="72" t="n">
        <v>368</v>
      </c>
      <c r="H147" s="70" t="n">
        <v>11102.92</v>
      </c>
      <c r="J147" s="74" t="n">
        <v>0.1663720956786549</v>
      </c>
      <c r="K147" s="72" t="n">
        <v>27084</v>
      </c>
      <c r="L147" s="74" t="n">
        <v>0.07934573918180475</v>
      </c>
      <c r="M147" s="75" t="n">
        <v>31.05419730107026</v>
      </c>
      <c r="N147" s="72" t="n">
        <v>84</v>
      </c>
    </row>
    <row r="148">
      <c r="A148" s="58" t="inlineStr">
        <is>
          <t>SellerBoard, Ecotero account, Amazon parent B0HDTF4MN2 plus any of this product's child ASINs SellerBoard lists on their own, UTC days. Lift above uses these actual sales (3.08x; the ad-spend estimate was 3.08x).</t>
        </is>
      </c>
    </row>
    <row r="149" ht="30" customHeight="1">
      <c r="A149" s="76"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7"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78" t="inlineStr">
        <is>
          <t>BFCM deal status (Slack): Nov 23 Lightning Deal cancelled in Seller Central while a Best Deal is pursued; rescheduled if not granted. [Umair Tahir, #bfcm-2026, 2026-10-13; BM, 2026-10-15]</t>
        </is>
      </c>
    </row>
    <row r="152" ht="18" customHeight="1">
      <c r="A152" s="79" t="inlineStr">
        <is>
          <t>ASSUMED 2026 deal prices, until BM's final: B0C7FXXS6R today $33.95; $28.86 at 15% off (Nov 19-26) and $27.16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3" ht="30" customHeight="1">
      <c r="A153" s="76"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4" ht="40" customHeight="1">
      <c r="A154" s="76"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5">
      <c r="A155" s="58" t="inlineStr">
        <is>
          <t>Command Center visibility for our best child B0C7FXXS6R: organic score None before BFCM 2025 → None in BFCM week; Prime Day 2026 63.5 → 77.2; Aug-Sep 2026 1.5.</t>
        </is>
      </c>
    </row>
    <row r="157" ht="20" customHeight="1">
      <c r="A157" s="53" t="inlineStr">
        <is>
          <t>4 · COMPETITOR LANDSCAPE (26 mapped)</t>
        </is>
      </c>
    </row>
    <row r="158">
      <c r="A158" s="58" t="inlineStr">
        <is>
          <t>Sorted by tier, then estimated weekly units. Green = Command Center price/sales; blue = Data Dive listing; purple = Command Center search strategy (ASINsight); yellow = fill from Keepa / page check.</t>
        </is>
      </c>
    </row>
    <row r="159">
      <c r="A159" s="80" t="inlineStr">
        <is>
          <t>COMPETITOR</t>
        </is>
      </c>
      <c r="I159" s="81" t="inlineStr">
        <is>
          <t>LISTING - Data Dive</t>
        </is>
      </c>
      <c r="J159" s="82" t="inlineStr">
        <is>
          <t>SEARCH STRATEGY - Command Center ASINsight</t>
        </is>
      </c>
      <c r="K159" s="83" t="inlineStr">
        <is>
          <t>PRICE &amp; SALES - Command Center snapshot (date per row)</t>
        </is>
      </c>
      <c r="X159" s="81" t="inlineStr">
        <is>
          <t>LISTING - Data Dive</t>
        </is>
      </c>
      <c r="AA159" s="82" t="inlineStr">
        <is>
          <t>SEARCH STRATEGY - Command Center ASINsight</t>
        </is>
      </c>
      <c r="AR159" s="84" t="inlineStr">
        <is>
          <t>STR NOW - Amazon page check (Oct 13, P1 + P2)</t>
        </is>
      </c>
      <c r="AY159" s="85" t="inlineStr">
        <is>
          <t>BFCM 2025 - Keepa (P1 filled; yellow = not pulled yet)</t>
        </is>
      </c>
    </row>
    <row r="160" ht="48" customHeight="1">
      <c r="A160" s="22" t="inlineStr">
        <is>
          <t>Image</t>
        </is>
      </c>
      <c r="B160" s="22" t="inlineStr">
        <is>
          <t>Brand</t>
        </is>
      </c>
      <c r="C160" s="22" t="inlineStr">
        <is>
          <t>Product title</t>
        </is>
      </c>
      <c r="D160" s="22" t="inlineStr">
        <is>
          <t>Tier</t>
        </is>
      </c>
      <c r="E160" s="22" t="inlineStr">
        <is>
          <t>Parent ASIN</t>
        </is>
      </c>
      <c r="F160" s="22" t="inlineStr">
        <is>
          <t>Tracked child ASIN</t>
        </is>
      </c>
      <c r="G160" s="22" t="inlineStr">
        <is>
          <t>Size</t>
        </is>
      </c>
      <c r="H160" s="22" t="inlineStr">
        <is>
          <t>Colour</t>
        </is>
      </c>
      <c r="I160" s="22" t="inlineStr">
        <is>
          <t>Variations</t>
        </is>
      </c>
      <c r="J160" s="22" t="inlineStr">
        <is>
          <t>Hero child ASINs (share of their visibility)</t>
        </is>
      </c>
      <c r="K160" s="22" t="inlineStr">
        <is>
          <t>Price ($)</t>
        </is>
      </c>
      <c r="L160" s="22" t="inlineStr">
        <is>
          <t>List Price ($)</t>
        </is>
      </c>
      <c r="M160" s="22" t="inlineStr">
        <is>
          <t>List Price % over</t>
        </is>
      </c>
      <c r="N160" s="22" t="inlineStr">
        <is>
          <t>STR band</t>
        </is>
      </c>
      <c r="O160" s="22" t="inlineStr">
        <is>
          <t>Our price, same size ($)</t>
        </is>
      </c>
      <c r="P160" s="22" t="inlineStr">
        <is>
          <t>Their price vs ours</t>
        </is>
      </c>
      <c r="Q160" s="22" t="inlineStr">
        <is>
          <t>Comparison basis</t>
        </is>
      </c>
      <c r="R160" s="22" t="inlineStr">
        <is>
          <t>BSR</t>
        </is>
      </c>
      <c r="S160" s="22" t="inlineStr">
        <is>
          <t>Est weekly units</t>
        </is>
      </c>
      <c r="T160" s="22" t="inlineStr">
        <is>
          <t>Est monthly revenue ($)</t>
        </is>
      </c>
      <c r="U160" s="22" t="inlineStr">
        <is>
          <t>Rating</t>
        </is>
      </c>
      <c r="V160" s="22" t="inlineStr">
        <is>
          <t>Reviews</t>
        </is>
      </c>
      <c r="W160" s="22" t="inlineStr">
        <is>
          <t>Snapshot date</t>
        </is>
      </c>
      <c r="X160" s="22" t="inlineStr">
        <is>
          <t>Listed</t>
        </is>
      </c>
      <c r="Y160" s="22" t="inlineStr">
        <is>
          <t>Fulfil.</t>
        </is>
      </c>
      <c r="Z160" s="22" t="inlineStr">
        <is>
          <t>Seller country</t>
        </is>
      </c>
      <c r="AA160" s="22" t="inlineStr">
        <is>
          <t>ASINsight 7d traffic</t>
        </is>
      </c>
      <c r="AB160" s="22" t="inlineStr">
        <is>
          <t>Keywords ranked</t>
        </is>
      </c>
      <c r="AC160" s="22" t="inlineStr">
        <is>
          <t>Organic share of traffic</t>
        </is>
      </c>
      <c r="AD160" s="22" t="inlineStr">
        <is>
          <t>Ad share of traffic</t>
        </is>
      </c>
      <c r="AE160" s="22" t="inlineStr">
        <is>
          <t>Top keyword</t>
        </is>
      </c>
      <c r="AF160" s="22" t="inlineStr">
        <is>
          <t>SP reach</t>
        </is>
      </c>
      <c r="AG160" s="22" t="inlineStr">
        <is>
          <t>SB reach</t>
        </is>
      </c>
      <c r="AH160" s="22" t="inlineStr">
        <is>
          <t>SB video reach</t>
        </is>
      </c>
      <c r="AI160" s="22" t="inlineStr">
        <is>
          <t>Amazon's Choice reach</t>
        </is>
      </c>
      <c r="AJ160" s="22" t="inlineStr">
        <is>
          <t>Shared keywords</t>
        </is>
      </c>
      <c r="AK160" s="22" t="inlineStr">
        <is>
          <t>We win</t>
        </is>
      </c>
      <c r="AL160" s="22" t="inlineStr">
        <is>
          <t>We lose</t>
        </is>
      </c>
      <c r="AM160" s="22" t="inlineStr">
        <is>
          <t>Their keywords we miss</t>
        </is>
      </c>
      <c r="AN160" s="22" t="inlineStr">
        <is>
          <t>KWs they advertise, we don't</t>
        </is>
      </c>
      <c r="AO160" s="22" t="inlineStr">
        <is>
          <t>KWs they out-advertise us</t>
        </is>
      </c>
      <c r="AP160" s="22" t="inlineStr">
        <is>
          <t>Prime Day 2026 organic vis lift</t>
        </is>
      </c>
      <c r="AQ160" s="22" t="inlineStr">
        <is>
          <t>Organic trend (Aug-Sep vs Q2)</t>
        </is>
      </c>
      <c r="AR160" s="22" t="inlineStr">
        <is>
          <t>STR showing now? (Y/N)</t>
        </is>
      </c>
      <c r="AS160" s="22" t="inlineStr">
        <is>
          <t>STR label</t>
        </is>
      </c>
      <c r="AT160" s="22" t="inlineStr">
        <is>
          <t>Strikethrough price ($)</t>
        </is>
      </c>
      <c r="AU160" s="22" t="inlineStr">
        <is>
          <t>Page price at check ($)</t>
        </is>
      </c>
      <c r="AV160" s="22" t="inlineStr">
        <is>
          <t>Deal / coupon now</t>
        </is>
      </c>
      <c r="AW160" s="22" t="inlineStr">
        <is>
          <t>Orderable now (Y/N)</t>
        </is>
      </c>
      <c r="AX160" s="22" t="inlineStr">
        <is>
          <t>Checked (ET)</t>
        </is>
      </c>
      <c r="AY160" s="22" t="inlineStr">
        <is>
          <t>BFCM 2025 deal type</t>
        </is>
      </c>
      <c r="AZ160" s="22" t="inlineStr">
        <is>
          <t>BFCM 2025 deal dates</t>
        </is>
      </c>
      <c r="BA160" s="22" t="inlineStr">
        <is>
          <t>Pre-event price ($)</t>
        </is>
      </c>
      <c r="BB160" s="22" t="inlineStr">
        <is>
          <t>BFCM 2025 low ($)</t>
        </is>
      </c>
      <c r="BC160" s="22" t="inlineStr">
        <is>
          <t>BFCM 2025 discount</t>
        </is>
      </c>
      <c r="BD160" s="22" t="inlineStr">
        <is>
          <t>BSR pre-event</t>
        </is>
      </c>
      <c r="BE160" s="22" t="inlineStr">
        <is>
          <t>BSR BFCM wk</t>
        </is>
      </c>
      <c r="BF160" s="22" t="inlineStr">
        <is>
          <t>BSR lift (x)</t>
        </is>
      </c>
      <c r="BG160" s="22" t="inlineStr">
        <is>
          <t>OOS in BFCM? (Y/N)</t>
        </is>
      </c>
      <c r="BH160" s="22" t="inlineStr">
        <is>
          <t>Notes</t>
        </is>
      </c>
    </row>
    <row r="161" ht="62" customHeight="1">
      <c r="A161" s="10">
        <f>_xlfn.IMAGE("https://images-na.ssl-images-amazon.com/images/I/71ujt2CgaQL.jpg")</f>
        <v/>
      </c>
      <c r="B161" s="86" t="inlineStr">
        <is>
          <t>BEDELITE</t>
        </is>
      </c>
      <c r="C161" s="32" t="inlineStr">
        <is>
          <t>BEDELITE Satin Sheets Queen Size Bed Set, Black, 4 Pieces</t>
        </is>
      </c>
      <c r="D161" s="86" t="inlineStr">
        <is>
          <t>Aspirational</t>
        </is>
      </c>
      <c r="E161" s="87" t="inlineStr">
        <is>
          <t>B0FNMNMZ9T</t>
        </is>
      </c>
      <c r="F161" s="87" t="inlineStr">
        <is>
          <t>B0CSFTRP2X</t>
        </is>
      </c>
      <c r="G161" s="86" t="inlineStr">
        <is>
          <t>Queen</t>
        </is>
      </c>
      <c r="H161" s="86" t="inlineStr">
        <is>
          <t>Black</t>
        </is>
      </c>
      <c r="I161" s="88" t="n">
        <v>141</v>
      </c>
      <c r="J161" s="32" t="inlineStr">
        <is>
          <t>B0CSFTRP2X (57%), B0CSFW9QKP (14%), B0CSFTZ5B9 (14%)</t>
        </is>
      </c>
      <c r="K161" s="89" t="n">
        <v>17.99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26 children</t>
        </is>
      </c>
      <c r="R161" s="88" t="n">
        <v>497</v>
      </c>
      <c r="S161" s="88" t="n">
        <v>1963</v>
      </c>
      <c r="T161" s="93">
        <f>IF(AND(ISNUMBER(K161),ISNUMBER(S161)),K161*S161*52/12,"")</f>
        <v/>
      </c>
      <c r="U161" s="94" t="n">
        <v>4.3</v>
      </c>
      <c r="V161" s="88" t="n">
        <v>6297</v>
      </c>
      <c r="W161" s="95" t="n">
        <v>46307</v>
      </c>
      <c r="X161" s="95" t="n">
        <v>45307</v>
      </c>
      <c r="Y161" s="86" t="inlineStr">
        <is>
          <t>FBA</t>
        </is>
      </c>
      <c r="Z161" s="86" t="inlineStr">
        <is>
          <t>CN</t>
        </is>
      </c>
      <c r="AA161" s="88" t="n">
        <v>997443</v>
      </c>
      <c r="AB161" s="88" t="n">
        <v>3432</v>
      </c>
      <c r="AC161" s="96" t="n">
        <v>0.8161266415223724</v>
      </c>
      <c r="AD161" s="96" t="n">
        <v>0.1838733681022371</v>
      </c>
      <c r="AE161" s="32" t="inlineStr">
        <is>
          <t>silk sheets</t>
        </is>
      </c>
      <c r="AF161" s="96" t="n">
        <v>0.7623814092634867</v>
      </c>
      <c r="AG161" s="96" t="n">
        <v>0.2406603685624141</v>
      </c>
      <c r="AH161" s="96" t="n">
        <v>0.1818179083917577</v>
      </c>
      <c r="AI161" s="96" t="n">
        <v>0.3718648584430388</v>
      </c>
      <c r="AJ161" s="88" t="n">
        <v>435</v>
      </c>
      <c r="AK161" s="88" t="n">
        <v>38</v>
      </c>
      <c r="AL161" s="88" t="n">
        <v>373</v>
      </c>
      <c r="AM161" s="88" t="n">
        <v>2997</v>
      </c>
      <c r="AN161" s="88" t="n">
        <v>393</v>
      </c>
      <c r="AO161" s="88" t="n">
        <v>23</v>
      </c>
      <c r="AP161" s="97" t="n">
        <v>1.114785561378903</v>
      </c>
      <c r="AQ161" s="92" t="n">
        <v>0.3117365084274004</v>
      </c>
      <c r="AR161" s="98" t="inlineStr">
        <is>
          <t>Y</t>
        </is>
      </c>
      <c r="AS161" s="98" t="inlineStr">
        <is>
          <t>List Price</t>
        </is>
      </c>
      <c r="AT161" s="99" t="n">
        <v>19.99</v>
      </c>
      <c r="AU161" s="99" t="n">
        <v>17.99</v>
      </c>
      <c r="AV161" s="98" t="inlineStr">
        <is>
          <t>none</t>
        </is>
      </c>
      <c r="AW161" s="98" t="inlineStr">
        <is>
          <t>Y</t>
        </is>
      </c>
      <c r="AX161" s="98" t="inlineStr">
        <is>
          <t>2026-10-13 12:12:27</t>
        </is>
      </c>
      <c r="AY161" s="100" t="inlineStr">
        <is>
          <t>Price cut only</t>
        </is>
      </c>
      <c r="AZ161" s="100" t="inlineStr">
        <is>
          <t>11-20 to 12-01</t>
        </is>
      </c>
      <c r="BA161" s="101" t="n">
        <v>17.99</v>
      </c>
      <c r="BB161" s="101" t="n">
        <v>17.09</v>
      </c>
      <c r="BC161" s="90">
        <f>IF(AND(ISNUMBER(BA161),ISNUMBER(BB161),N(BA161)&gt;0),1-BB161/BA161,"")</f>
        <v/>
      </c>
      <c r="BD161" s="102" t="n">
        <v>714</v>
      </c>
      <c r="BE161" s="102" t="n">
        <v>473</v>
      </c>
      <c r="BF161" s="103">
        <f>IF(AND(ISNUMBER(BD161),ISNUMBER(BE161),N(BE161)&gt;0),BD161/BE161,"")</f>
        <v/>
      </c>
      <c r="BG161" s="100" t="inlineStr">
        <is>
          <t>N</t>
        </is>
      </c>
      <c r="BH161" s="100" t="inlineStr">
        <is>
          <t>Prime Exclusive 11-01 to 12-05; Prime Exclusive already running before BFCM week; List Price $23.99</t>
        </is>
      </c>
    </row>
    <row r="162" ht="62" customHeight="1">
      <c r="A162" s="10">
        <f>_xlfn.IMAGE("https://images-na.ssl-images-amazon.com/images/I/81C-fXI71XL.jpg")</f>
        <v/>
      </c>
      <c r="B162" s="86" t="inlineStr">
        <is>
          <t>Love's cabin</t>
        </is>
      </c>
      <c r="C162" s="32" t="inlineStr">
        <is>
          <t>Love's cabin Satin Queen Sheets Set, 4 Pieces, Pink, 15" Deep Pocket</t>
        </is>
      </c>
      <c r="D162" s="86" t="inlineStr">
        <is>
          <t>Aspirational</t>
        </is>
      </c>
      <c r="E162" s="87" t="inlineStr">
        <is>
          <t>B08DHTB63X</t>
        </is>
      </c>
      <c r="F162" s="87" t="inlineStr">
        <is>
          <t>B0BNMC5G8R</t>
        </is>
      </c>
      <c r="G162" s="86" t="inlineStr">
        <is>
          <t>Queen</t>
        </is>
      </c>
      <c r="H162" s="86" t="inlineStr">
        <is>
          <t>Pink</t>
        </is>
      </c>
      <c r="I162" s="88" t="n">
        <v>128</v>
      </c>
      <c r="J162" s="32" t="inlineStr">
        <is>
          <t>B0BNMC5G8R (45%), B0BNMCRSC6 (13%), B0CM5NFXX1 (9%), B0BNMVM5VM (5%), B0BNMD8S97 (4%)</t>
        </is>
      </c>
      <c r="K162" s="89" t="n">
        <v>16.13</v>
      </c>
      <c r="L162" s="89" t="n">
        <v>19.99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26 children</t>
        </is>
      </c>
      <c r="R162" s="88" t="n">
        <v>949</v>
      </c>
      <c r="S162" s="88" t="n">
        <v>809</v>
      </c>
      <c r="T162" s="93">
        <f>IF(AND(ISNUMBER(K162),ISNUMBER(S162)),K162*S162*52/12,"")</f>
        <v/>
      </c>
      <c r="U162" s="94" t="n">
        <v>4.5</v>
      </c>
      <c r="V162" s="88" t="n">
        <v>5747</v>
      </c>
      <c r="W162" s="95" t="n">
        <v>46307</v>
      </c>
      <c r="X162" s="95" t="n">
        <v>44895</v>
      </c>
      <c r="Y162" s="86" t="inlineStr">
        <is>
          <t>FBA</t>
        </is>
      </c>
      <c r="Z162" s="86" t="inlineStr">
        <is>
          <t>CN</t>
        </is>
      </c>
      <c r="AA162" s="88" t="n">
        <v>385363</v>
      </c>
      <c r="AB162" s="88" t="n">
        <v>3599</v>
      </c>
      <c r="AC162" s="96" t="n">
        <v>0.8181775938530695</v>
      </c>
      <c r="AD162" s="96" t="n">
        <v>0.1818224144507905</v>
      </c>
      <c r="AE162" s="32" t="inlineStr">
        <is>
          <t>silk sheets</t>
        </is>
      </c>
      <c r="AF162" s="96" t="n">
        <v>0.8853963665427143</v>
      </c>
      <c r="AG162" s="96" t="n">
        <v>0.6095447668821345</v>
      </c>
      <c r="AH162" s="96" t="n">
        <v>0.07642664189348744</v>
      </c>
      <c r="AI162" s="96" t="n">
        <v>0.06371395281851137</v>
      </c>
      <c r="AJ162" s="88" t="n">
        <v>418</v>
      </c>
      <c r="AK162" s="88" t="n">
        <v>63</v>
      </c>
      <c r="AL162" s="88" t="n">
        <v>328</v>
      </c>
      <c r="AM162" s="88" t="n">
        <v>3181</v>
      </c>
      <c r="AN162" s="88" t="n">
        <v>478</v>
      </c>
      <c r="AO162" s="88" t="n">
        <v>30</v>
      </c>
      <c r="AP162" s="97" t="n">
        <v>1.036399938565504</v>
      </c>
      <c r="AQ162" s="92" t="n">
        <v>-0.1336111472848027</v>
      </c>
      <c r="AR162" s="98" t="inlineStr">
        <is>
          <t>Y</t>
        </is>
      </c>
      <c r="AS162" s="98" t="inlineStr">
        <is>
          <t>List Price</t>
        </is>
      </c>
      <c r="AT162" s="99" t="n">
        <v>19.99</v>
      </c>
      <c r="AU162" s="99" t="n">
        <v>16.13</v>
      </c>
      <c r="AV162" s="98" t="inlineStr">
        <is>
          <t>Limited time deal</t>
        </is>
      </c>
      <c r="AW162" s="98" t="inlineStr">
        <is>
          <t>Y</t>
        </is>
      </c>
      <c r="AX162" s="98" t="inlineStr">
        <is>
          <t>2026-10-13 12:13:15</t>
        </is>
      </c>
      <c r="AY162" s="100" t="inlineStr">
        <is>
          <t>Prime Exclusive Discount</t>
        </is>
      </c>
      <c r="AZ162" s="100" t="inlineStr">
        <is>
          <t>11-10 to 12-05</t>
        </is>
      </c>
      <c r="BA162" s="101" t="n">
        <v>17.99</v>
      </c>
      <c r="BB162" s="101" t="n">
        <v>17.99</v>
      </c>
      <c r="BC162" s="90">
        <f>IF(AND(ISNUMBER(BA162),ISNUMBER(BB162),N(BA162)&gt;0),1-BB162/BA162,"")</f>
        <v/>
      </c>
      <c r="BD162" s="102" t="n">
        <v>1276</v>
      </c>
      <c r="BE162" s="102" t="n">
        <v>1515</v>
      </c>
      <c r="BF162" s="103">
        <f>IF(AND(ISNUMBER(BD162),ISNUMBER(BE162),N(BE162)&gt;0),BD162/BE162,"")</f>
        <v/>
      </c>
      <c r="BG162" s="100" t="inlineStr">
        <is>
          <t>N</t>
        </is>
      </c>
      <c r="BH162" s="100" t="inlineStr">
        <is>
          <t>Prime Exclusive already running before BFCM week; List Price $25.99</t>
        </is>
      </c>
    </row>
    <row r="163" ht="62" customHeight="1">
      <c r="A163" s="10">
        <f>_xlfn.IMAGE("https://images-na.ssl-images-amazon.com/images/I/71zGuoeuSrL.jpg")</f>
        <v/>
      </c>
      <c r="B163" s="86" t="inlineStr">
        <is>
          <t>MR&amp;HM</t>
        </is>
      </c>
      <c r="C163" s="32" t="inlineStr">
        <is>
          <t>MR&amp;HM Satin Sheets Queen Size with Elastic Corner Straps, Black</t>
        </is>
      </c>
      <c r="D163" s="86" t="inlineStr">
        <is>
          <t>Aspirational</t>
        </is>
      </c>
      <c r="E163" s="87" t="inlineStr">
        <is>
          <t>B08NQ3W7PG</t>
        </is>
      </c>
      <c r="F163" s="87" t="inlineStr">
        <is>
          <t>B08HM6WT6X</t>
        </is>
      </c>
      <c r="G163" s="86" t="inlineStr">
        <is>
          <t>Queen</t>
        </is>
      </c>
      <c r="H163" s="86" t="inlineStr">
        <is>
          <t>Black</t>
        </is>
      </c>
      <c r="I163" s="88" t="n">
        <v>183</v>
      </c>
      <c r="J163" s="32" t="inlineStr">
        <is>
          <t>B08HM6WT6X (40%), B0D2CQ6VNT (13%), B08PS3HDFL (10%), B08HM65Z68 (8%), B08HLT8R9M (6%)</t>
        </is>
      </c>
      <c r="K163" s="89" t="n">
        <v>19.99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26 children</t>
        </is>
      </c>
      <c r="R163" s="88" t="n">
        <v>2025</v>
      </c>
      <c r="S163" s="88" t="n">
        <v>809</v>
      </c>
      <c r="T163" s="93">
        <f>IF(AND(ISNUMBER(K163),ISNUMBER(S163)),K163*S163*52/12,"")</f>
        <v/>
      </c>
      <c r="U163" s="94" t="n">
        <v>4.4</v>
      </c>
      <c r="V163" s="88" t="n">
        <v>17886</v>
      </c>
      <c r="W163" s="95" t="n">
        <v>46307</v>
      </c>
      <c r="X163" s="95" t="n">
        <v>44081</v>
      </c>
      <c r="Y163" s="86" t="inlineStr">
        <is>
          <t>FBA</t>
        </is>
      </c>
      <c r="Z163" s="86" t="inlineStr">
        <is>
          <t>HK</t>
        </is>
      </c>
      <c r="AA163" s="88" t="n">
        <v>356457</v>
      </c>
      <c r="AB163" s="88" t="n">
        <v>3352</v>
      </c>
      <c r="AC163" s="96" t="n">
        <v>0.7964633734223203</v>
      </c>
      <c r="AD163" s="96" t="n">
        <v>0.2035367432817982</v>
      </c>
      <c r="AE163" s="32" t="inlineStr">
        <is>
          <t>silk sheets</t>
        </is>
      </c>
      <c r="AF163" s="96" t="n">
        <v>0.839254103580516</v>
      </c>
      <c r="AG163" s="96" t="n"/>
      <c r="AH163" s="96" t="n"/>
      <c r="AI163" s="96" t="n">
        <v>0.1362268099658584</v>
      </c>
      <c r="AJ163" s="88" t="n">
        <v>426</v>
      </c>
      <c r="AK163" s="88" t="n">
        <v>65</v>
      </c>
      <c r="AL163" s="88" t="n">
        <v>314</v>
      </c>
      <c r="AM163" s="88" t="n">
        <v>2926</v>
      </c>
      <c r="AN163" s="88" t="n">
        <v>443</v>
      </c>
      <c r="AO163" s="88" t="n">
        <v>34</v>
      </c>
      <c r="AP163" s="97" t="n">
        <v>0.9844138242602214</v>
      </c>
      <c r="AQ163" s="92" t="n">
        <v>0.1594370096908169</v>
      </c>
      <c r="AR163" s="98" t="inlineStr">
        <is>
          <t>Y</t>
        </is>
      </c>
      <c r="AS163" s="98" t="inlineStr">
        <is>
          <t>List Price</t>
        </is>
      </c>
      <c r="AT163" s="99" t="n">
        <v>28.99</v>
      </c>
      <c r="AU163" s="99" t="n">
        <v>19.99</v>
      </c>
      <c r="AV163" s="98" t="inlineStr">
        <is>
          <t>none</t>
        </is>
      </c>
      <c r="AW163" s="98" t="inlineStr">
        <is>
          <t>Y</t>
        </is>
      </c>
      <c r="AX163" s="98" t="inlineStr">
        <is>
          <t>2026-10-13 12:13:22</t>
        </is>
      </c>
      <c r="AY163" s="100" t="inlineStr">
        <is>
          <t>None</t>
        </is>
      </c>
      <c r="AZ163" s="105" t="n"/>
      <c r="BA163" s="101" t="n">
        <v>17.99</v>
      </c>
      <c r="BB163" s="101" t="n">
        <v>17.99</v>
      </c>
      <c r="BC163" s="90">
        <f>IF(AND(ISNUMBER(BA163),ISNUMBER(BB163),N(BA163)&gt;0),1-BB163/BA163,"")</f>
        <v/>
      </c>
      <c r="BD163" s="102" t="n">
        <v>1500</v>
      </c>
      <c r="BE163" s="102" t="n">
        <v>1119</v>
      </c>
      <c r="BF163" s="103">
        <f>IF(AND(ISNUMBER(BD163),ISNUMBER(BE163),N(BE163)&gt;0),BD163/BE163,"")</f>
        <v/>
      </c>
      <c r="BG163" s="100" t="inlineStr">
        <is>
          <t>N</t>
        </is>
      </c>
      <c r="BH163" s="100" t="inlineStr">
        <is>
          <t>Prime Exclusive 11-01 to 12-05; Lightning Deal 11-08 to 11-14; Prime Exclusive already running before BFCM week; List Price $28.99</t>
        </is>
      </c>
    </row>
    <row r="164" ht="62" customHeight="1">
      <c r="A164" s="10">
        <f>_xlfn.IMAGE("https://images-na.ssl-images-amazon.com/images/I/71QlFwpmpcL.jpg")</f>
        <v/>
      </c>
      <c r="B164" s="86" t="inlineStr">
        <is>
          <t>CozyLux</t>
        </is>
      </c>
      <c r="C164" s="32" t="inlineStr">
        <is>
          <t>CozyLux Satin Sheets Queen, 4-Piece 14-Inch Deep Pocket Sheet Set</t>
        </is>
      </c>
      <c r="D164" s="86" t="inlineStr">
        <is>
          <t>Aspirational</t>
        </is>
      </c>
      <c r="E164" s="87" t="inlineStr">
        <is>
          <t>B08CQKS3KP</t>
        </is>
      </c>
      <c r="F164" s="87" t="inlineStr">
        <is>
          <t>B08P16XLP2</t>
        </is>
      </c>
      <c r="G164" s="86" t="inlineStr">
        <is>
          <t>Queen</t>
        </is>
      </c>
      <c r="H164" s="86" t="inlineStr">
        <is>
          <t>Black</t>
        </is>
      </c>
      <c r="I164" s="88" t="n">
        <v>115</v>
      </c>
      <c r="J164" s="32" t="inlineStr">
        <is>
          <t>B08P16XLP2 (43%), B08P164867 (8%), B08P17PQ8J (6%), B0CQ8CN4PK (5%), B0BYDSWCJY (4%)</t>
        </is>
      </c>
      <c r="K164" s="89" t="n">
        <v>13.99</v>
      </c>
      <c r="L164" s="89" t="n">
        <v>18.99</v>
      </c>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26 children</t>
        </is>
      </c>
      <c r="R164" s="88" t="n">
        <v>3102</v>
      </c>
      <c r="S164" s="88" t="n">
        <v>347</v>
      </c>
      <c r="T164" s="93">
        <f>IF(AND(ISNUMBER(K164),ISNUMBER(S164)),K164*S164*52/12,"")</f>
        <v/>
      </c>
      <c r="U164" s="94" t="n">
        <v>4.3</v>
      </c>
      <c r="V164" s="88" t="n">
        <v>7075</v>
      </c>
      <c r="W164" s="95" t="n">
        <v>46307</v>
      </c>
      <c r="X164" s="95" t="n">
        <v>44158</v>
      </c>
      <c r="Y164" s="86" t="inlineStr">
        <is>
          <t>FBA</t>
        </is>
      </c>
      <c r="Z164" s="86" t="inlineStr">
        <is>
          <t>CN</t>
        </is>
      </c>
      <c r="AA164" s="88" t="n">
        <v>164434</v>
      </c>
      <c r="AB164" s="88" t="n">
        <v>2031</v>
      </c>
      <c r="AC164" s="96" t="n">
        <v>0.724298132381382</v>
      </c>
      <c r="AD164" s="96" t="n">
        <v>0.2757019065400104</v>
      </c>
      <c r="AE164" s="32" t="inlineStr">
        <is>
          <t>silk sheets</t>
        </is>
      </c>
      <c r="AF164" s="96" t="n">
        <v>0.601335490227082</v>
      </c>
      <c r="AG164" s="96" t="n">
        <v>0.5155016602405829</v>
      </c>
      <c r="AH164" s="96" t="n"/>
      <c r="AI164" s="96" t="n">
        <v>0.04596981159614192</v>
      </c>
      <c r="AJ164" s="88" t="n">
        <v>396</v>
      </c>
      <c r="AK164" s="88" t="n">
        <v>61</v>
      </c>
      <c r="AL164" s="88" t="n">
        <v>300</v>
      </c>
      <c r="AM164" s="88" t="n">
        <v>1635</v>
      </c>
      <c r="AN164" s="88" t="n">
        <v>361</v>
      </c>
      <c r="AO164" s="88" t="n">
        <v>29</v>
      </c>
      <c r="AP164" s="97" t="n">
        <v>0.8168981481481481</v>
      </c>
      <c r="AQ164" s="92" t="n">
        <v>-0.1447276536312849</v>
      </c>
      <c r="AR164" s="98" t="inlineStr">
        <is>
          <t>Y</t>
        </is>
      </c>
      <c r="AS164" s="98" t="inlineStr">
        <is>
          <t>List Price</t>
        </is>
      </c>
      <c r="AT164" s="99" t="n">
        <v>18.99</v>
      </c>
      <c r="AU164" s="99" t="n">
        <v>13.99</v>
      </c>
      <c r="AV164" s="98" t="inlineStr">
        <is>
          <t>Limited time deal</t>
        </is>
      </c>
      <c r="AW164" s="98" t="inlineStr">
        <is>
          <t>Y</t>
        </is>
      </c>
      <c r="AX164" s="98" t="inlineStr">
        <is>
          <t>2026-10-13 12:12:43</t>
        </is>
      </c>
      <c r="AY164" s="100" t="inlineStr">
        <is>
          <t>Prime Exclusive Discount</t>
        </is>
      </c>
      <c r="AZ164" s="100" t="inlineStr">
        <is>
          <t>11-01 to 12-05</t>
        </is>
      </c>
      <c r="BA164" s="101" t="n">
        <v>17.99</v>
      </c>
      <c r="BB164" s="101" t="n">
        <v>16.99</v>
      </c>
      <c r="BC164" s="90">
        <f>IF(AND(ISNUMBER(BA164),ISNUMBER(BB164),N(BA164)&gt;0),1-BB164/BA164,"")</f>
        <v/>
      </c>
      <c r="BD164" s="102" t="n">
        <v>1165</v>
      </c>
      <c r="BE164" s="102" t="n">
        <v>1226</v>
      </c>
      <c r="BF164" s="103">
        <f>IF(AND(ISNUMBER(BD164),ISNUMBER(BE164),N(BE164)&gt;0),BD164/BE164,"")</f>
        <v/>
      </c>
      <c r="BG164" s="100" t="inlineStr">
        <is>
          <t>N</t>
        </is>
      </c>
      <c r="BH164" s="100" t="inlineStr">
        <is>
          <t>Lightning Deal 11-09 to 11-16; Prime Exclusive already running before BFCM week; List Price $22.99</t>
        </is>
      </c>
    </row>
    <row r="165" ht="62" customHeight="1">
      <c r="A165" s="10">
        <f>_xlfn.IMAGE("https://images-na.ssl-images-amazon.com/images/I/71PMIXXTc0L.jpg")</f>
        <v/>
      </c>
      <c r="B165" s="86" t="inlineStr">
        <is>
          <t>Lanest Housing</t>
        </is>
      </c>
      <c r="C165" s="32" t="inlineStr">
        <is>
          <t>Lanest Housing Silk Satin Sheets, Queen Size Satin Bed Sheet Set with Deep Pockets, Cooling Soft and Hypoallergenic Satin Sheets Queen - Light Gray</t>
        </is>
      </c>
      <c r="D165" s="86" t="inlineStr">
        <is>
          <t>Aspirational</t>
        </is>
      </c>
      <c r="E165" s="87" t="inlineStr">
        <is>
          <t>B0DC3MX1DP</t>
        </is>
      </c>
      <c r="F165" s="87" t="inlineStr">
        <is>
          <t>B082B5CY3D</t>
        </is>
      </c>
      <c r="G165" s="86" t="inlineStr">
        <is>
          <t>Queen</t>
        </is>
      </c>
      <c r="H165" s="86" t="inlineStr">
        <is>
          <t>Gray</t>
        </is>
      </c>
      <c r="I165" s="88" t="n">
        <v>154</v>
      </c>
      <c r="J165" s="32" t="inlineStr">
        <is>
          <t>B082B5CY3D (41%), B07VWFV7MB (21%), B07VTSWJPH (21%)</t>
        </is>
      </c>
      <c r="K165" s="89" t="n">
        <v>22.99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26 children</t>
        </is>
      </c>
      <c r="R165" s="88" t="n">
        <v>4671</v>
      </c>
      <c r="S165" s="88" t="n">
        <v>208</v>
      </c>
      <c r="T165" s="93">
        <f>IF(AND(ISNUMBER(K165),ISNUMBER(S165)),K165*S165*52/12,"")</f>
        <v/>
      </c>
      <c r="U165" s="94" t="n">
        <v>4.3</v>
      </c>
      <c r="V165" s="88" t="n">
        <v>5837</v>
      </c>
      <c r="W165" s="95" t="n">
        <v>46307</v>
      </c>
      <c r="X165" s="95" t="n">
        <v>43803</v>
      </c>
      <c r="Y165" s="86" t="inlineStr">
        <is>
          <t>FBA</t>
        </is>
      </c>
      <c r="Z165" s="86" t="inlineStr">
        <is>
          <t>CN</t>
        </is>
      </c>
      <c r="AA165" s="88" t="n">
        <v>163454</v>
      </c>
      <c r="AB165" s="88" t="n">
        <v>1240</v>
      </c>
      <c r="AC165" s="96" t="n">
        <v>0.511816095659941</v>
      </c>
      <c r="AD165" s="96" t="n">
        <v>0.488184002226926</v>
      </c>
      <c r="AE165" s="32" t="inlineStr">
        <is>
          <t>silk sheets</t>
        </is>
      </c>
      <c r="AF165" s="96" t="n">
        <v>0.9357923330111224</v>
      </c>
      <c r="AG165" s="96" t="n">
        <v>0.9225470162859275</v>
      </c>
      <c r="AH165" s="96" t="n"/>
      <c r="AI165" s="96" t="n">
        <v>0.002850955008748639</v>
      </c>
      <c r="AJ165" s="88" t="n">
        <v>356</v>
      </c>
      <c r="AK165" s="88" t="n">
        <v>95</v>
      </c>
      <c r="AL165" s="88" t="n">
        <v>220</v>
      </c>
      <c r="AM165" s="88" t="n">
        <v>884</v>
      </c>
      <c r="AN165" s="88" t="n">
        <v>98</v>
      </c>
      <c r="AO165" s="88" t="n">
        <v>34</v>
      </c>
      <c r="AP165" s="97" t="n">
        <v>0.4183908045977011</v>
      </c>
      <c r="AQ165" s="92" t="n">
        <v>1.815972222222222</v>
      </c>
      <c r="AR165" s="98" t="inlineStr">
        <is>
          <t>N</t>
        </is>
      </c>
      <c r="AS165" s="98" t="inlineStr">
        <is>
          <t>none</t>
        </is>
      </c>
      <c r="AT165" s="104" t="n"/>
      <c r="AU165" s="99" t="n">
        <v>22.99</v>
      </c>
      <c r="AV165" s="98" t="inlineStr">
        <is>
          <t>none</t>
        </is>
      </c>
      <c r="AW165" s="98" t="inlineStr">
        <is>
          <t>Y</t>
        </is>
      </c>
      <c r="AX165" s="98" t="inlineStr">
        <is>
          <t>2026-10-13 12:13:12</t>
        </is>
      </c>
      <c r="AY165" s="100" t="inlineStr">
        <is>
          <t>Prime Exclusive Discount</t>
        </is>
      </c>
      <c r="AZ165" s="100" t="inlineStr">
        <is>
          <t>11-20 to 11-27</t>
        </is>
      </c>
      <c r="BA165" s="101" t="n">
        <v>19.99</v>
      </c>
      <c r="BB165" s="101" t="n">
        <v>17.99</v>
      </c>
      <c r="BC165" s="90">
        <f>IF(AND(ISNUMBER(BA165),ISNUMBER(BB165),N(BA165)&gt;0),1-BB165/BA165,"")</f>
        <v/>
      </c>
      <c r="BD165" s="102" t="n">
        <v>3675</v>
      </c>
      <c r="BE165" s="102" t="n">
        <v>3550</v>
      </c>
      <c r="BF165" s="103">
        <f>IF(AND(ISNUMBER(BD165),ISNUMBER(BE165),N(BE165)&gt;0),BD165/BE165,"")</f>
        <v/>
      </c>
      <c r="BG165" s="100" t="inlineStr">
        <is>
          <t>Y</t>
        </is>
      </c>
      <c r="BH165" s="100" t="inlineStr">
        <is>
          <t>Buy Box RAISED in BFCM week (median $27.79 vs $19.99 before); List Price $37.99</t>
        </is>
      </c>
    </row>
    <row r="166" ht="62" customHeight="1">
      <c r="A166" s="10">
        <f>_xlfn.IMAGE("https://images-na.ssl-images-amazon.com/images/I/81zLU1W0e8L.jpg")</f>
        <v/>
      </c>
      <c r="B166" s="86" t="inlineStr">
        <is>
          <t>Pure Bedding</t>
        </is>
      </c>
      <c r="C166" s="32" t="inlineStr">
        <is>
          <t>Pure Bedding Satin Sheets Queen [4-Piece, Black] Hotel Luxury Silky Bed Sheets - Extra Soft 1800 Microfiber Sheet Set, Wrinkle, Fade, Deep Pocket Fitted Sheet, Flat Sheet, Pillow Cases</t>
        </is>
      </c>
      <c r="D166" s="86" t="inlineStr">
        <is>
          <t>Aspirational</t>
        </is>
      </c>
      <c r="E166" s="87" t="inlineStr">
        <is>
          <t>B0FMPQYB2J</t>
        </is>
      </c>
      <c r="F166" s="87" t="inlineStr">
        <is>
          <t>B083G81VSH</t>
        </is>
      </c>
      <c r="G166" s="86" t="inlineStr">
        <is>
          <t>Queen</t>
        </is>
      </c>
      <c r="H166" s="86" t="inlineStr">
        <is>
          <t>Black</t>
        </is>
      </c>
      <c r="I166" s="88" t="n">
        <v>146</v>
      </c>
      <c r="J166" s="32" t="inlineStr">
        <is>
          <t>B083G81VSH (53%), B07QVMQHD8 (25%), B0FMZWLSSM (4%)</t>
        </is>
      </c>
      <c r="K166" s="89" t="n">
        <v>20.99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26 children</t>
        </is>
      </c>
      <c r="R166" s="88" t="n">
        <v>30991</v>
      </c>
      <c r="S166" s="88" t="n">
        <v>92</v>
      </c>
      <c r="T166" s="93">
        <f>IF(AND(ISNUMBER(K166),ISNUMBER(S166)),K166*S166*52/12,"")</f>
        <v/>
      </c>
      <c r="U166" s="94" t="n">
        <v>4.4</v>
      </c>
      <c r="V166" s="88" t="n">
        <v>9828</v>
      </c>
      <c r="W166" s="95" t="n">
        <v>46307</v>
      </c>
      <c r="X166" s="95" t="n">
        <v>43833</v>
      </c>
      <c r="Y166" s="86" t="inlineStr">
        <is>
          <t>AMZ</t>
        </is>
      </c>
      <c r="Z166" s="86" t="inlineStr">
        <is>
          <t>(Amazon)</t>
        </is>
      </c>
      <c r="AA166" s="88" t="n">
        <v>119531</v>
      </c>
      <c r="AB166" s="88" t="n">
        <v>1524</v>
      </c>
      <c r="AC166" s="96" t="n">
        <v>0.6204180681162206</v>
      </c>
      <c r="AD166" s="96" t="n">
        <v>0.3795819318837791</v>
      </c>
      <c r="AE166" s="32" t="inlineStr">
        <is>
          <t>satin sheets</t>
        </is>
      </c>
      <c r="AF166" s="96" t="n">
        <v>0.7968142155591437</v>
      </c>
      <c r="AG166" s="96" t="n"/>
      <c r="AH166" s="96" t="n"/>
      <c r="AI166" s="96" t="n">
        <v>0.001480787410797199</v>
      </c>
      <c r="AJ166" s="88" t="n">
        <v>355</v>
      </c>
      <c r="AK166" s="88" t="n">
        <v>95</v>
      </c>
      <c r="AL166" s="88" t="n">
        <v>225</v>
      </c>
      <c r="AM166" s="88" t="n">
        <v>1169</v>
      </c>
      <c r="AN166" s="88" t="n">
        <v>241</v>
      </c>
      <c r="AO166" s="88" t="n">
        <v>31</v>
      </c>
      <c r="AP166" s="97" t="n">
        <v>0.7574960547080484</v>
      </c>
      <c r="AQ166" s="92" t="n">
        <v>-0.08414376321353068</v>
      </c>
      <c r="AR166" s="98" t="inlineStr">
        <is>
          <t>N</t>
        </is>
      </c>
      <c r="AS166" s="98" t="inlineStr">
        <is>
          <t>none</t>
        </is>
      </c>
      <c r="AT166" s="104" t="n"/>
      <c r="AU166" s="99" t="n">
        <v>20.99</v>
      </c>
      <c r="AV166" s="98" t="inlineStr">
        <is>
          <t>none</t>
        </is>
      </c>
      <c r="AW166" s="98" t="inlineStr">
        <is>
          <t>Y</t>
        </is>
      </c>
      <c r="AX166" s="98" t="inlineStr">
        <is>
          <t>2026-10-13 12:13:39</t>
        </is>
      </c>
      <c r="AY166" s="100" t="inlineStr">
        <is>
          <t>Price cut only</t>
        </is>
      </c>
      <c r="AZ166" s="100" t="inlineStr">
        <is>
          <t>11-26 to 12-01</t>
        </is>
      </c>
      <c r="BA166" s="101" t="n">
        <v>18.99</v>
      </c>
      <c r="BB166" s="101" t="n">
        <v>17.54</v>
      </c>
      <c r="BC166" s="90">
        <f>IF(AND(ISNUMBER(BA166),ISNUMBER(BB166),N(BA166)&gt;0),1-BB166/BA166,"")</f>
        <v/>
      </c>
      <c r="BD166" s="102" t="n">
        <v>18619</v>
      </c>
      <c r="BE166" s="102" t="n">
        <v>22404</v>
      </c>
      <c r="BF166" s="103">
        <f>IF(AND(ISNUMBER(BD166),ISNUMBER(BE166),N(BE166)&gt;0),BD166/BE166,"")</f>
        <v/>
      </c>
      <c r="BG166" s="100" t="inlineStr">
        <is>
          <t>N</t>
        </is>
      </c>
      <c r="BH166" s="100" t="inlineStr">
        <is>
          <t>Buy Box RAISED in BFCM week (median $20.02 vs $18.99 before); List Price $32.99</t>
        </is>
      </c>
    </row>
    <row r="167" ht="62" customHeight="1">
      <c r="A167" s="10">
        <f>_xlfn.IMAGE("https://images-na.ssl-images-amazon.com/images/I/810d6GzTlfL.jpg")</f>
        <v/>
      </c>
      <c r="B167" s="86" t="inlineStr">
        <is>
          <t>FreshCulture</t>
        </is>
      </c>
      <c r="C167" s="32" t="inlineStr">
        <is>
          <t>Satin Sheets</t>
        </is>
      </c>
      <c r="D167" s="86" t="inlineStr">
        <is>
          <t>Beatable</t>
        </is>
      </c>
      <c r="E167" s="87" t="inlineStr">
        <is>
          <t>B0D9B18P6N</t>
        </is>
      </c>
      <c r="F167" s="87" t="inlineStr">
        <is>
          <t>B0D9BD63QH</t>
        </is>
      </c>
      <c r="G167" s="86" t="inlineStr">
        <is>
          <t>Full</t>
        </is>
      </c>
      <c r="H167" s="86" t="inlineStr">
        <is>
          <t>Black</t>
        </is>
      </c>
      <c r="I167" s="88" t="n">
        <v>54</v>
      </c>
      <c r="J167" s="32" t="inlineStr">
        <is>
          <t>B0D9BD63QH (41%), B0D9BCKF76 (23%), B0D9BBSLJ5 (8%), B0D9BFR53D (6%), B0D9B9HFLQ (5%)</t>
        </is>
      </c>
      <c r="K167" s="89" t="n">
        <v>23.99</v>
      </c>
      <c r="L167" s="89" t="n"/>
      <c r="M167" s="90">
        <f>IF(AND(ISNUMBER(L167),ISNUMBER(K167),N(K167)&gt;0),L167/K167-1,"")</f>
        <v/>
      </c>
      <c r="N167" s="91">
        <f>IF(M167="","No List Price",IF(M167&lt;=0,"At/below price",IF(M167&lt;=0.12,"&lt;=12% STR zone",IF(M167&lt;=0.25,"12-25%","&gt;25% over"))))</f>
        <v/>
      </c>
      <c r="O167" s="89" t="n">
        <v>29.95</v>
      </c>
      <c r="P167" s="92">
        <f>IF(AND(ISNUMBER(K167),ISNUMBER(O167),N(O167)&gt;0),K167/O167-1,"")</f>
        <v/>
      </c>
      <c r="Q167" s="32" t="inlineStr">
        <is>
          <t>Same size (Full). Ours live: Helium 10 Xray, 2026-10-13; 26 children</t>
        </is>
      </c>
      <c r="R167" s="88" t="n">
        <v>17918</v>
      </c>
      <c r="S167" s="88" t="n">
        <v>104</v>
      </c>
      <c r="T167" s="93">
        <f>IF(AND(ISNUMBER(K167),ISNUMBER(S167)),K167*S167*52/12,"")</f>
        <v/>
      </c>
      <c r="U167" s="94" t="n">
        <v>4.4</v>
      </c>
      <c r="V167" s="88" t="n">
        <v>780</v>
      </c>
      <c r="W167" s="95" t="n">
        <v>46307</v>
      </c>
      <c r="X167" s="95" t="n"/>
      <c r="Y167" s="86" t="n"/>
      <c r="Z167" s="86" t="n"/>
      <c r="AA167" s="88" t="n">
        <v>99046</v>
      </c>
      <c r="AB167" s="88" t="n">
        <v>1117</v>
      </c>
      <c r="AC167" s="96" t="n">
        <v>0.9634387880378817</v>
      </c>
      <c r="AD167" s="96" t="n">
        <v>0.0365612119621186</v>
      </c>
      <c r="AE167" s="32" t="inlineStr">
        <is>
          <t>silk sheets</t>
        </is>
      </c>
      <c r="AF167" s="96" t="n">
        <v>0.6526159562223613</v>
      </c>
      <c r="AG167" s="96" t="n"/>
      <c r="AH167" s="96" t="n"/>
      <c r="AI167" s="96" t="n">
        <v>0.05489368576217112</v>
      </c>
      <c r="AJ167" s="88" t="n">
        <v>295</v>
      </c>
      <c r="AK167" s="88" t="n">
        <v>56</v>
      </c>
      <c r="AL167" s="88" t="n">
        <v>208</v>
      </c>
      <c r="AM167" s="88" t="n">
        <v>822</v>
      </c>
      <c r="AN167" s="88" t="n">
        <v>32</v>
      </c>
      <c r="AO167" s="88" t="n">
        <v>3</v>
      </c>
      <c r="AP167" s="97" t="n"/>
      <c r="AQ167" s="92" t="n"/>
      <c r="AR167" s="98" t="inlineStr">
        <is>
          <t>N</t>
        </is>
      </c>
      <c r="AS167" s="98" t="inlineStr">
        <is>
          <t>none</t>
        </is>
      </c>
      <c r="AT167" s="104" t="n"/>
      <c r="AU167" s="99" t="n">
        <v>23.99</v>
      </c>
      <c r="AV167" s="98" t="inlineStr">
        <is>
          <t>none</t>
        </is>
      </c>
      <c r="AW167" s="98" t="inlineStr">
        <is>
          <t>Y</t>
        </is>
      </c>
      <c r="AX167" s="98" t="inlineStr">
        <is>
          <t>2026-10-13 12:12:46</t>
        </is>
      </c>
      <c r="AY167" s="100" t="inlineStr">
        <is>
          <t>Prime Exclusive Discount</t>
        </is>
      </c>
      <c r="AZ167" s="100" t="inlineStr">
        <is>
          <t>11-24 to 11-24</t>
        </is>
      </c>
      <c r="BA167" s="101" t="n">
        <v>23.99</v>
      </c>
      <c r="BB167" s="101" t="n">
        <v>18.69</v>
      </c>
      <c r="BC167" s="90">
        <f>IF(AND(ISNUMBER(BA167),ISNUMBER(BB167),N(BA167)&gt;0),1-BB167/BA167,"")</f>
        <v/>
      </c>
      <c r="BD167" s="102" t="n">
        <v>37399</v>
      </c>
      <c r="BE167" s="102" t="n">
        <v>26864</v>
      </c>
      <c r="BF167" s="103">
        <f>IF(AND(ISNUMBER(BD167),ISNUMBER(BE167),N(BE167)&gt;0),BD167/BE167,"")</f>
        <v/>
      </c>
      <c r="BG167" s="100" t="inlineStr">
        <is>
          <t>Y</t>
        </is>
      </c>
      <c r="BH167" s="100" t="inlineStr">
        <is>
          <t>List Price $34.99</t>
        </is>
      </c>
    </row>
    <row r="168" ht="62" customHeight="1">
      <c r="A168" s="10">
        <f>_xlfn.IMAGE("https://images-na.ssl-images-amazon.com/images/I/71TbH0l5XfL.jpg")</f>
        <v/>
      </c>
      <c r="B168" s="86" t="inlineStr">
        <is>
          <t>P Pothuiny</t>
        </is>
      </c>
      <c r="C168" s="32" t="inlineStr">
        <is>
          <t>P Pothuiny 6-Piece Queen Satin Sheet Set Burgundy Silky Sheets</t>
        </is>
      </c>
      <c r="D168" s="86" t="inlineStr">
        <is>
          <t>Beatable</t>
        </is>
      </c>
      <c r="E168" s="87" t="inlineStr">
        <is>
          <t>B096P2MYZQ</t>
        </is>
      </c>
      <c r="F168" s="87" t="inlineStr">
        <is>
          <t>B08QMF6D5W</t>
        </is>
      </c>
      <c r="G168" s="86" t="inlineStr">
        <is>
          <t>Queen</t>
        </is>
      </c>
      <c r="H168" s="86" t="inlineStr">
        <is>
          <t>Burgundy</t>
        </is>
      </c>
      <c r="I168" s="88" t="n">
        <v>47</v>
      </c>
      <c r="J168" s="32" t="inlineStr">
        <is>
          <t>B08QMF6D5W (52%), B08QMSJFYZ (19%), B08QMYV2YR (10%)</t>
        </is>
      </c>
      <c r="K168" s="89" t="n">
        <v>26.99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26 children</t>
        </is>
      </c>
      <c r="R168" s="88" t="n">
        <v>20031</v>
      </c>
      <c r="S168" s="88" t="n">
        <v>104</v>
      </c>
      <c r="T168" s="93">
        <f>IF(AND(ISNUMBER(K168),ISNUMBER(S168)),K168*S168*52/12,"")</f>
        <v/>
      </c>
      <c r="U168" s="94" t="n">
        <v>4.4</v>
      </c>
      <c r="V168" s="88" t="n">
        <v>4031</v>
      </c>
      <c r="W168" s="95" t="n">
        <v>46307</v>
      </c>
      <c r="X168" s="95" t="n">
        <v>44180</v>
      </c>
      <c r="Y168" s="86" t="inlineStr">
        <is>
          <t>FBA</t>
        </is>
      </c>
      <c r="Z168" s="86" t="inlineStr">
        <is>
          <t>CN</t>
        </is>
      </c>
      <c r="AA168" s="88" t="n">
        <v>66544</v>
      </c>
      <c r="AB168" s="88" t="n">
        <v>832</v>
      </c>
      <c r="AC168" s="96" t="n">
        <v>0.9166959214955518</v>
      </c>
      <c r="AD168" s="96" t="n">
        <v>0.08330407850444821</v>
      </c>
      <c r="AE168" s="32" t="inlineStr">
        <is>
          <t>silk sheets</t>
        </is>
      </c>
      <c r="AF168" s="96" t="n">
        <v>0.1859972349122385</v>
      </c>
      <c r="AG168" s="96" t="n">
        <v>0.5380349843712431</v>
      </c>
      <c r="AH168" s="96" t="n"/>
      <c r="AI168" s="96" t="n">
        <v>0.01920533782159173</v>
      </c>
      <c r="AJ168" s="88" t="n">
        <v>363</v>
      </c>
      <c r="AK168" s="88" t="n">
        <v>84</v>
      </c>
      <c r="AL168" s="88" t="n">
        <v>228</v>
      </c>
      <c r="AM168" s="88" t="n">
        <v>469</v>
      </c>
      <c r="AN168" s="88" t="n">
        <v>42</v>
      </c>
      <c r="AO168" s="88" t="n">
        <v>11</v>
      </c>
      <c r="AP168" s="97" t="n">
        <v>1.171497584541063</v>
      </c>
      <c r="AQ168" s="92" t="n">
        <v>0.608009708737864</v>
      </c>
      <c r="AR168" s="98" t="inlineStr">
        <is>
          <t>N</t>
        </is>
      </c>
      <c r="AS168" s="98" t="inlineStr">
        <is>
          <t>none</t>
        </is>
      </c>
      <c r="AT168" s="104" t="n"/>
      <c r="AU168" s="99" t="n">
        <v>26.99</v>
      </c>
      <c r="AV168" s="98" t="inlineStr">
        <is>
          <t>none</t>
        </is>
      </c>
      <c r="AW168" s="98" t="inlineStr">
        <is>
          <t>Y</t>
        </is>
      </c>
      <c r="AX168" s="98" t="inlineStr">
        <is>
          <t>2026-10-13 12:13:35</t>
        </is>
      </c>
      <c r="AY168" s="100" t="inlineStr">
        <is>
          <t>Prime Exclusive Discount</t>
        </is>
      </c>
      <c r="AZ168" s="100" t="inlineStr">
        <is>
          <t>11-01 to 12-01</t>
        </is>
      </c>
      <c r="BA168" s="101" t="n">
        <v>29.99</v>
      </c>
      <c r="BB168" s="101" t="n">
        <v>24.95</v>
      </c>
      <c r="BC168" s="90">
        <f>IF(AND(ISNUMBER(BA168),ISNUMBER(BB168),N(BA168)&gt;0),1-BB168/BA168,"")</f>
        <v/>
      </c>
      <c r="BD168" s="102" t="n">
        <v>19773</v>
      </c>
      <c r="BE168" s="102" t="n">
        <v>19113</v>
      </c>
      <c r="BF168" s="103">
        <f>IF(AND(ISNUMBER(BD168),ISNUMBER(BE168),N(BE168)&gt;0),BD168/BE168,"")</f>
        <v/>
      </c>
      <c r="BG168" s="100" t="inlineStr">
        <is>
          <t>N</t>
        </is>
      </c>
      <c r="BH168" s="100" t="inlineStr">
        <is>
          <t>Prime Exclusive already running before BFCM week; Buy Box RAISED in BFCM week (median $31.99 vs $29.99 before); List Price $48.99</t>
        </is>
      </c>
    </row>
    <row r="169" ht="62" customHeight="1">
      <c r="A169" s="10">
        <f>_xlfn.IMAGE("https://images-na.ssl-images-amazon.com/images/I/81zMSoUAMJL.jpg")</f>
        <v/>
      </c>
      <c r="B169" s="86" t="inlineStr">
        <is>
          <t>Bedsure</t>
        </is>
      </c>
      <c r="C169" s="32" t="inlineStr">
        <is>
          <t>Satin Sheets</t>
        </is>
      </c>
      <c r="D169" s="86" t="inlineStr">
        <is>
          <t>Beatable</t>
        </is>
      </c>
      <c r="E169" s="87" t="inlineStr">
        <is>
          <t>B0DCZYNBYS</t>
        </is>
      </c>
      <c r="F169" s="87" t="inlineStr">
        <is>
          <t>B0CJ8RYNTS</t>
        </is>
      </c>
      <c r="G169" s="86" t="inlineStr">
        <is>
          <t>Queen</t>
        </is>
      </c>
      <c r="H169" s="86" t="inlineStr">
        <is>
          <t>02 - Black</t>
        </is>
      </c>
      <c r="I169" s="88" t="n">
        <v>32</v>
      </c>
      <c r="J169" s="32" t="inlineStr">
        <is>
          <t>B0CJ8SSQ6B (37%), B0CJ8RDYQ7 (17%), B0CJ8RYNTS (17%), B0CL4FSC1R (9%), B0CJ8SB44M (7%)</t>
        </is>
      </c>
      <c r="K169" s="89" t="n">
        <v>19.99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26 children</t>
        </is>
      </c>
      <c r="R169" s="88" t="n">
        <v>22342</v>
      </c>
      <c r="S169" s="88" t="n">
        <v>92</v>
      </c>
      <c r="T169" s="93">
        <f>IF(AND(ISNUMBER(K169),ISNUMBER(S169)),K169*S169*52/12,"")</f>
        <v/>
      </c>
      <c r="U169" s="94" t="n">
        <v>4.3</v>
      </c>
      <c r="V169" s="88" t="n">
        <v>2745</v>
      </c>
      <c r="W169" s="95" t="n">
        <v>46307</v>
      </c>
      <c r="X169" s="95" t="n"/>
      <c r="Y169" s="86" t="n"/>
      <c r="Z169" s="86" t="n"/>
      <c r="AA169" s="88" t="n">
        <v>89691</v>
      </c>
      <c r="AB169" s="88" t="n">
        <v>1094</v>
      </c>
      <c r="AC169" s="96" t="n">
        <v>0.6850140036347012</v>
      </c>
      <c r="AD169" s="96" t="n">
        <v>0.3149859963652986</v>
      </c>
      <c r="AE169" s="32" t="inlineStr">
        <is>
          <t>satin sheets</t>
        </is>
      </c>
      <c r="AF169" s="96" t="n">
        <v>0.7987311993399561</v>
      </c>
      <c r="AG169" s="96" t="n">
        <v>0.4455742493672721</v>
      </c>
      <c r="AH169" s="96" t="n"/>
      <c r="AI169" s="96" t="n">
        <v>0.011428125452944</v>
      </c>
      <c r="AJ169" s="88" t="n">
        <v>328</v>
      </c>
      <c r="AK169" s="88" t="n">
        <v>79</v>
      </c>
      <c r="AL169" s="88" t="n">
        <v>220</v>
      </c>
      <c r="AM169" s="88" t="n">
        <v>766</v>
      </c>
      <c r="AN169" s="88" t="n">
        <v>181</v>
      </c>
      <c r="AO169" s="88" t="n">
        <v>29</v>
      </c>
      <c r="AP169" s="97" t="n">
        <v>1.528846153846154</v>
      </c>
      <c r="AQ169" s="92" t="n">
        <v>0.1557377049180328</v>
      </c>
      <c r="AR169" s="98" t="inlineStr">
        <is>
          <t>N</t>
        </is>
      </c>
      <c r="AS169" s="98" t="inlineStr">
        <is>
          <t>none</t>
        </is>
      </c>
      <c r="AT169" s="104" t="n"/>
      <c r="AU169" s="99" t="n">
        <v>19.99</v>
      </c>
      <c r="AV169" s="98" t="inlineStr">
        <is>
          <t>none</t>
        </is>
      </c>
      <c r="AW169" s="98" t="inlineStr">
        <is>
          <t>Y</t>
        </is>
      </c>
      <c r="AX169" s="98" t="inlineStr">
        <is>
          <t>2026-10-13 12:12:37</t>
        </is>
      </c>
      <c r="AY169" s="100" t="inlineStr">
        <is>
          <t>Prime Exclusive Discount</t>
        </is>
      </c>
      <c r="AZ169" s="100" t="inlineStr">
        <is>
          <t>11-08 to 12-04</t>
        </is>
      </c>
      <c r="BA169" s="101" t="n">
        <v>22.39</v>
      </c>
      <c r="BB169" s="101" t="n">
        <v>20.99</v>
      </c>
      <c r="BC169" s="90">
        <f>IF(AND(ISNUMBER(BA169),ISNUMBER(BB169),N(BA169)&gt;0),1-BB169/BA169,"")</f>
        <v/>
      </c>
      <c r="BD169" s="102" t="n">
        <v>4549</v>
      </c>
      <c r="BE169" s="102" t="n">
        <v>5323</v>
      </c>
      <c r="BF169" s="103">
        <f>IF(AND(ISNUMBER(BD169),ISNUMBER(BE169),N(BE169)&gt;0),BD169/BE169,"")</f>
        <v/>
      </c>
      <c r="BG169" s="100" t="inlineStr">
        <is>
          <t>N</t>
        </is>
      </c>
      <c r="BH169" s="100" t="inlineStr">
        <is>
          <t>Prime Exclusive already running before BFCM week; Buy Box RAISED in BFCM week (median $28.99 vs $24.99 before); List Price $44.99</t>
        </is>
      </c>
    </row>
    <row r="170" ht="62" customHeight="1">
      <c r="A170" s="10">
        <f>_xlfn.IMAGE("https://images-na.ssl-images-amazon.com/images/I/71ZrkfMtWLL.jpg")</f>
        <v/>
      </c>
      <c r="B170" s="86" t="inlineStr">
        <is>
          <t>SiinvdaBZX</t>
        </is>
      </c>
      <c r="C170" s="32" t="inlineStr">
        <is>
          <t>SiinvdaBZX 4Pcs Satin Sheet Set Queen Size 15-Inch Deep Pocket, Beige</t>
        </is>
      </c>
      <c r="D170" s="86" t="inlineStr">
        <is>
          <t>Beatable</t>
        </is>
      </c>
      <c r="E170" s="87" t="inlineStr">
        <is>
          <t>B0DD37S32L</t>
        </is>
      </c>
      <c r="F170" s="87" t="inlineStr">
        <is>
          <t>B08JP9DG5Z</t>
        </is>
      </c>
      <c r="G170" s="86" t="inlineStr">
        <is>
          <t>Queen</t>
        </is>
      </c>
      <c r="H170" s="86" t="inlineStr">
        <is>
          <t>Beige</t>
        </is>
      </c>
      <c r="I170" s="88" t="n">
        <v>96</v>
      </c>
      <c r="J170" s="32" t="inlineStr">
        <is>
          <t>B08JP9DG5Z (57%), B09QPFBSD4 (12%), B09QP9LCFM (7%), B08JPQ3JJK (4%)</t>
        </is>
      </c>
      <c r="K170" s="89" t="n">
        <v>22.99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26 children</t>
        </is>
      </c>
      <c r="R170" s="88" t="n">
        <v>23154</v>
      </c>
      <c r="S170" s="88" t="n">
        <v>92</v>
      </c>
      <c r="T170" s="93">
        <f>IF(AND(ISNUMBER(K170),ISNUMBER(S170)),K170*S170*52/12,"")</f>
        <v/>
      </c>
      <c r="U170" s="94" t="n">
        <v>4.4</v>
      </c>
      <c r="V170" s="88" t="n">
        <v>6981</v>
      </c>
      <c r="W170" s="95" t="n">
        <v>46307</v>
      </c>
      <c r="X170" s="95" t="n">
        <v>44096</v>
      </c>
      <c r="Y170" s="86" t="inlineStr">
        <is>
          <t>FBA</t>
        </is>
      </c>
      <c r="Z170" s="86" t="inlineStr">
        <is>
          <t>CN</t>
        </is>
      </c>
      <c r="AA170" s="88" t="n">
        <v>47722</v>
      </c>
      <c r="AB170" s="88" t="n">
        <v>1085</v>
      </c>
      <c r="AC170" s="96" t="n">
        <v>0.8752176061355349</v>
      </c>
      <c r="AD170" s="96" t="n">
        <v>0.1247823938644651</v>
      </c>
      <c r="AE170" s="32" t="inlineStr">
        <is>
          <t>silk sheets</t>
        </is>
      </c>
      <c r="AF170" s="96" t="n">
        <v>0.6122543061900172</v>
      </c>
      <c r="AG170" s="96" t="n">
        <v>0.0001885922635262562</v>
      </c>
      <c r="AH170" s="96" t="n">
        <v>0.01083357780478605</v>
      </c>
      <c r="AI170" s="96" t="n">
        <v>0.004777670675998491</v>
      </c>
      <c r="AJ170" s="88" t="n">
        <v>325</v>
      </c>
      <c r="AK170" s="88" t="n">
        <v>100</v>
      </c>
      <c r="AL170" s="88" t="n">
        <v>189</v>
      </c>
      <c r="AM170" s="88" t="n">
        <v>760</v>
      </c>
      <c r="AN170" s="88" t="n">
        <v>128</v>
      </c>
      <c r="AO170" s="88" t="n">
        <v>13</v>
      </c>
      <c r="AP170" s="97" t="n">
        <v>1.035928143712575</v>
      </c>
      <c r="AQ170" s="92" t="n">
        <v>-0.05882352941176483</v>
      </c>
      <c r="AR170" s="98" t="inlineStr">
        <is>
          <t>N</t>
        </is>
      </c>
      <c r="AS170" s="98" t="inlineStr">
        <is>
          <t>none</t>
        </is>
      </c>
      <c r="AT170" s="104" t="n"/>
      <c r="AU170" s="99" t="n">
        <v>22.99</v>
      </c>
      <c r="AV170" s="98" t="inlineStr">
        <is>
          <t>none</t>
        </is>
      </c>
      <c r="AW170" s="98" t="inlineStr">
        <is>
          <t>Y</t>
        </is>
      </c>
      <c r="AX170" s="98" t="inlineStr">
        <is>
          <t>2026-10-13 12:13:45</t>
        </is>
      </c>
      <c r="AY170" s="100" t="inlineStr">
        <is>
          <t>Prime Exclusive Discount</t>
        </is>
      </c>
      <c r="AZ170" s="100" t="inlineStr">
        <is>
          <t>11-01 to 12-01</t>
        </is>
      </c>
      <c r="BA170" s="101" t="n">
        <v>24.49</v>
      </c>
      <c r="BB170" s="101" t="n">
        <v>21.59</v>
      </c>
      <c r="BC170" s="90">
        <f>IF(AND(ISNUMBER(BA170),ISNUMBER(BB170),N(BA170)&gt;0),1-BB170/BA170,"")</f>
        <v/>
      </c>
      <c r="BD170" s="102" t="n">
        <v>20848</v>
      </c>
      <c r="BE170" s="102" t="n">
        <v>20750</v>
      </c>
      <c r="BF170" s="103">
        <f>IF(AND(ISNUMBER(BD170),ISNUMBER(BE170),N(BE170)&gt;0),BD170/BE170,"")</f>
        <v/>
      </c>
      <c r="BG170" s="100" t="inlineStr">
        <is>
          <t>N</t>
        </is>
      </c>
      <c r="BH170" s="100" t="inlineStr">
        <is>
          <t>Prime Exclusive already running before BFCM week; Buy Box RAISED in BFCM week (median $26.99 vs $24.49 before); List Price $52.59</t>
        </is>
      </c>
    </row>
    <row r="171" ht="62" customHeight="1">
      <c r="A171" s="10">
        <f>_xlfn.IMAGE("https://images-na.ssl-images-amazon.com/images/I/71r48b+Sh9L.jpg")</f>
        <v/>
      </c>
      <c r="B171" s="86" t="inlineStr">
        <is>
          <t>GOLAL</t>
        </is>
      </c>
      <c r="C171" s="32" t="inlineStr">
        <is>
          <t>GOLAL Satin Sheets Full Size - 4 Pieces Luxury Silky Soft Bed Sheets, Wrinkle-Free Black Satin Silk Sheet Set with 1 Deep Pocket Fitted Sheet, 1 Flat Sheet, 2 Pillow Cases</t>
        </is>
      </c>
      <c r="D171" s="86" t="inlineStr">
        <is>
          <t>Beatable</t>
        </is>
      </c>
      <c r="E171" s="87" t="inlineStr">
        <is>
          <t>B0B1Q2JG5X</t>
        </is>
      </c>
      <c r="F171" s="87" t="inlineStr">
        <is>
          <t>B09G17SQXF</t>
        </is>
      </c>
      <c r="G171" s="86" t="inlineStr">
        <is>
          <t>Full</t>
        </is>
      </c>
      <c r="H171" s="86" t="inlineStr">
        <is>
          <t>Black</t>
        </is>
      </c>
      <c r="I171" s="88" t="n">
        <v>94</v>
      </c>
      <c r="J171" s="32" t="inlineStr">
        <is>
          <t>B09G17XZC5 (35%), B09G17SQXF (27%), B09G18ZJ9S (10%), B09G18GFJL (10%)</t>
        </is>
      </c>
      <c r="K171" s="89" t="n">
        <v>21.99</v>
      </c>
      <c r="L171" s="89" t="n"/>
      <c r="M171" s="90">
        <f>IF(AND(ISNUMBER(L171),ISNUMBER(K171),N(K171)&gt;0),L171/K171-1,"")</f>
        <v/>
      </c>
      <c r="N171" s="91">
        <f>IF(M171="","No List Price",IF(M171&lt;=0,"At/below price",IF(M171&lt;=0.12,"&lt;=12% STR zone",IF(M171&lt;=0.25,"12-25%","&gt;25% over"))))</f>
        <v/>
      </c>
      <c r="O171" s="89" t="n">
        <v>29.95</v>
      </c>
      <c r="P171" s="92">
        <f>IF(AND(ISNUMBER(K171),ISNUMBER(O171),N(O171)&gt;0),K171/O171-1,"")</f>
        <v/>
      </c>
      <c r="Q171" s="32" t="inlineStr">
        <is>
          <t>Same size (Full). Ours live: Helium 10 Xray, 2026-10-13; 26 children</t>
        </is>
      </c>
      <c r="R171" s="88" t="n">
        <v>132024</v>
      </c>
      <c r="S171" s="88" t="n">
        <v>81</v>
      </c>
      <c r="T171" s="93">
        <f>IF(AND(ISNUMBER(K171),ISNUMBER(S171)),K171*S171*52/12,"")</f>
        <v/>
      </c>
      <c r="U171" s="94" t="n">
        <v>4.4</v>
      </c>
      <c r="V171" s="88" t="n">
        <v>3943</v>
      </c>
      <c r="W171" s="95" t="n">
        <v>46307</v>
      </c>
      <c r="X171" s="95" t="n">
        <v>44451</v>
      </c>
      <c r="Y171" s="86" t="inlineStr">
        <is>
          <t>FBA</t>
        </is>
      </c>
      <c r="Z171" s="86" t="inlineStr">
        <is>
          <t>CN</t>
        </is>
      </c>
      <c r="AA171" s="88" t="n">
        <v>48561</v>
      </c>
      <c r="AB171" s="88" t="n">
        <v>615</v>
      </c>
      <c r="AC171" s="96" t="n">
        <v>0.6641788183933609</v>
      </c>
      <c r="AD171" s="96" t="n">
        <v>0.3358211816066392</v>
      </c>
      <c r="AE171" s="32" t="inlineStr">
        <is>
          <t>satin sheets queen size</t>
        </is>
      </c>
      <c r="AF171" s="96" t="n">
        <v>0.6905747410473425</v>
      </c>
      <c r="AG171" s="96" t="n">
        <v>0.432960606247812</v>
      </c>
      <c r="AH171" s="96" t="n"/>
      <c r="AI171" s="96" t="n">
        <v>0.005930685117687033</v>
      </c>
      <c r="AJ171" s="88" t="n">
        <v>301</v>
      </c>
      <c r="AK171" s="88" t="n">
        <v>103</v>
      </c>
      <c r="AL171" s="88" t="n">
        <v>172</v>
      </c>
      <c r="AM171" s="88" t="n">
        <v>314</v>
      </c>
      <c r="AN171" s="88" t="n">
        <v>51</v>
      </c>
      <c r="AO171" s="88" t="n">
        <v>23</v>
      </c>
      <c r="AP171" s="97" t="n">
        <v>0.8779220779220779</v>
      </c>
      <c r="AQ171" s="92" t="n">
        <v>0.803921568627451</v>
      </c>
      <c r="AR171" s="98" t="inlineStr">
        <is>
          <t>N</t>
        </is>
      </c>
      <c r="AS171" s="98" t="inlineStr">
        <is>
          <t>none</t>
        </is>
      </c>
      <c r="AT171" s="104" t="n"/>
      <c r="AU171" s="99" t="n">
        <v>21.99</v>
      </c>
      <c r="AV171" s="98" t="inlineStr">
        <is>
          <t>none</t>
        </is>
      </c>
      <c r="AW171" s="98" t="inlineStr">
        <is>
          <t>Y</t>
        </is>
      </c>
      <c r="AX171" s="98" t="inlineStr">
        <is>
          <t>2026-10-13 12:12:50</t>
        </is>
      </c>
      <c r="AY171" s="100" t="inlineStr">
        <is>
          <t>Prime Exclusive Discount</t>
        </is>
      </c>
      <c r="AZ171" s="100" t="inlineStr">
        <is>
          <t>11-27 to 11-27</t>
        </is>
      </c>
      <c r="BA171" s="101" t="n">
        <v>16.05</v>
      </c>
      <c r="BB171" s="101" t="n">
        <v>17.59</v>
      </c>
      <c r="BC171" s="90">
        <f>IF(AND(ISNUMBER(BA171),ISNUMBER(BB171),N(BA171)&gt;0),1-BB171/BA171,"")</f>
        <v/>
      </c>
      <c r="BD171" s="102" t="n">
        <v>5577</v>
      </c>
      <c r="BE171" s="102" t="n">
        <v>12758</v>
      </c>
      <c r="BF171" s="103">
        <f>IF(AND(ISNUMBER(BD171),ISNUMBER(BE171),N(BE171)&gt;0),BD171/BE171,"")</f>
        <v/>
      </c>
      <c r="BG171" s="100" t="inlineStr">
        <is>
          <t>N</t>
        </is>
      </c>
      <c r="BH171" s="100" t="inlineStr">
        <is>
          <t>Coupon 10%, 5% (11-01 to 12-05); Buy Box RAISED in BFCM week (median $21.99 vs $16.05 before); List Price $24.99</t>
        </is>
      </c>
    </row>
    <row r="172" ht="62" customHeight="1">
      <c r="A172" s="10">
        <f>_xlfn.IMAGE("https://images-na.ssl-images-amazon.com/images/I/61QL2B3WPsL.jpg")</f>
        <v/>
      </c>
      <c r="B172" s="86" t="inlineStr">
        <is>
          <t>Cobedzy</t>
        </is>
      </c>
      <c r="C172" s="32" t="inlineStr">
        <is>
          <t>Satin Sheets</t>
        </is>
      </c>
      <c r="D172" s="86" t="inlineStr">
        <is>
          <t>Beatable</t>
        </is>
      </c>
      <c r="E172" s="87" t="inlineStr">
        <is>
          <t>B099PPQ7T3</t>
        </is>
      </c>
      <c r="F172" s="87" t="inlineStr">
        <is>
          <t>B087CSRQQ4</t>
        </is>
      </c>
      <c r="G172" s="86" t="inlineStr">
        <is>
          <t>Queen</t>
        </is>
      </c>
      <c r="H172" s="86" t="inlineStr">
        <is>
          <t>Blush Pink</t>
        </is>
      </c>
      <c r="I172" s="88" t="n">
        <v>18</v>
      </c>
      <c r="J172" s="32" t="inlineStr">
        <is>
          <t>B087CSJ1FV (44%), B087CSRQQ4 (26%), B087CSNV9S (8%), B088CX6RW8 (4%)</t>
        </is>
      </c>
      <c r="K172" s="89" t="n">
        <v>24.99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26 children</t>
        </is>
      </c>
      <c r="R172" s="88" t="n">
        <v>68667</v>
      </c>
      <c r="S172" s="88" t="n">
        <v>35</v>
      </c>
      <c r="T172" s="93">
        <f>IF(AND(ISNUMBER(K172),ISNUMBER(S172)),K172*S172*52/12,"")</f>
        <v/>
      </c>
      <c r="U172" s="94" t="n">
        <v>4.4</v>
      </c>
      <c r="V172" s="88" t="n">
        <v>2838</v>
      </c>
      <c r="W172" s="95" t="n">
        <v>46307</v>
      </c>
      <c r="X172" s="95" t="n"/>
      <c r="Y172" s="86" t="n"/>
      <c r="Z172" s="86" t="n"/>
      <c r="AA172" s="88" t="n">
        <v>21925</v>
      </c>
      <c r="AB172" s="88" t="n">
        <v>461</v>
      </c>
      <c r="AC172" s="96" t="n">
        <v>0.9295306681870016</v>
      </c>
      <c r="AD172" s="96" t="n">
        <v>0.07046991562143676</v>
      </c>
      <c r="AE172" s="32" t="inlineStr">
        <is>
          <t>satin sheets</t>
        </is>
      </c>
      <c r="AF172" s="96" t="n">
        <v>0.3978563283922463</v>
      </c>
      <c r="AG172" s="96" t="n"/>
      <c r="AH172" s="96" t="n"/>
      <c r="AI172" s="96" t="n">
        <v>0.01299885974914481</v>
      </c>
      <c r="AJ172" s="88" t="n">
        <v>225</v>
      </c>
      <c r="AK172" s="88" t="n">
        <v>114</v>
      </c>
      <c r="AL172" s="88" t="n">
        <v>96</v>
      </c>
      <c r="AM172" s="88" t="n">
        <v>236</v>
      </c>
      <c r="AN172" s="88" t="n">
        <v>68</v>
      </c>
      <c r="AO172" s="88" t="n">
        <v>9</v>
      </c>
      <c r="AP172" s="97" t="n">
        <v>0.8934169278996865</v>
      </c>
      <c r="AQ172" s="92" t="n">
        <v>-0.4259740259740259</v>
      </c>
      <c r="AR172" s="98" t="inlineStr">
        <is>
          <t>Y</t>
        </is>
      </c>
      <c r="AS172" s="98" t="inlineStr">
        <is>
          <t>Typical price</t>
        </is>
      </c>
      <c r="AT172" s="99" t="n">
        <v>26.99</v>
      </c>
      <c r="AU172" s="99" t="n">
        <v>24.99</v>
      </c>
      <c r="AV172" s="98" t="inlineStr">
        <is>
          <t>none</t>
        </is>
      </c>
      <c r="AW172" s="98" t="inlineStr">
        <is>
          <t>Y</t>
        </is>
      </c>
      <c r="AX172" s="98" t="inlineStr">
        <is>
          <t>2026-10-13 12:12:40</t>
        </is>
      </c>
      <c r="AY172" s="100" t="inlineStr">
        <is>
          <t>Price cut only</t>
        </is>
      </c>
      <c r="AZ172" s="100" t="inlineStr">
        <is>
          <t>11-20 to 12-01</t>
        </is>
      </c>
      <c r="BA172" s="101" t="n">
        <v>27.99</v>
      </c>
      <c r="BB172" s="101" t="n">
        <v>22.39</v>
      </c>
      <c r="BC172" s="90">
        <f>IF(AND(ISNUMBER(BA172),ISNUMBER(BB172),N(BA172)&gt;0),1-BB172/BA172,"")</f>
        <v/>
      </c>
      <c r="BD172" s="102" t="n">
        <v>39293</v>
      </c>
      <c r="BE172" s="102" t="n">
        <v>27923</v>
      </c>
      <c r="BF172" s="103">
        <f>IF(AND(ISNUMBER(BD172),ISNUMBER(BE172),N(BE172)&gt;0),BD172/BE172,"")</f>
        <v/>
      </c>
      <c r="BG172" s="100" t="inlineStr">
        <is>
          <t>N</t>
        </is>
      </c>
      <c r="BH172" s="100" t="inlineStr">
        <is>
          <t>List Price $38.99</t>
        </is>
      </c>
    </row>
    <row r="173" ht="62" customHeight="1">
      <c r="A173" s="10">
        <f>_xlfn.IMAGE("https://images-na.ssl-images-amazon.com/images/I/813TGJ9FKjL.jpg")</f>
        <v/>
      </c>
      <c r="B173" s="86" t="inlineStr">
        <is>
          <t>Horbaunal</t>
        </is>
      </c>
      <c r="C173" s="32" t="inlineStr">
        <is>
          <t>Horbaunal 6 Piece Satin Sheet Set Queen, Emerald Green Queen Bed Sheets</t>
        </is>
      </c>
      <c r="D173" s="86" t="inlineStr">
        <is>
          <t>Beatable</t>
        </is>
      </c>
      <c r="E173" s="87" t="inlineStr">
        <is>
          <t>B0B4MQCT87</t>
        </is>
      </c>
      <c r="F173" s="87" t="inlineStr">
        <is>
          <t>B0B4MQ1PP1</t>
        </is>
      </c>
      <c r="G173" s="86" t="inlineStr">
        <is>
          <t>Queen</t>
        </is>
      </c>
      <c r="H173" s="86" t="inlineStr">
        <is>
          <t>Green</t>
        </is>
      </c>
      <c r="I173" s="88" t="n">
        <v>23</v>
      </c>
      <c r="J173" s="32" t="inlineStr"/>
      <c r="K173" s="89" t="n">
        <v>28.99</v>
      </c>
      <c r="L173" s="89" t="n"/>
      <c r="M173" s="90">
        <f>IF(AND(ISNUMBER(L173),ISNUMBER(K173),N(K173)&gt;0),L173/K173-1,"")</f>
        <v/>
      </c>
      <c r="N173" s="91">
        <f>IF(M173="","No List Price",IF(M173&lt;=0,"At/below price",IF(M173&lt;=0.12,"&lt;=12% STR zone",IF(M173&lt;=0.25,"12-25%","&gt;25% over"))))</f>
        <v/>
      </c>
      <c r="O173" s="89" t="n">
        <v>31.95</v>
      </c>
      <c r="P173" s="92">
        <f>IF(AND(ISNUMBER(K173),ISNUMBER(O173),N(O173)&gt;0),K173/O173-1,"")</f>
        <v/>
      </c>
      <c r="Q173" s="32" t="inlineStr">
        <is>
          <t>Same size (Queen). Ours live: Helium 10 Xray, 2026-10-13; 26 children</t>
        </is>
      </c>
      <c r="R173" s="88" t="n">
        <v>110638</v>
      </c>
      <c r="S173" s="88" t="n">
        <v>35</v>
      </c>
      <c r="T173" s="93">
        <f>IF(AND(ISNUMBER(K173),ISNUMBER(S173)),K173*S173*52/12,"")</f>
        <v/>
      </c>
      <c r="U173" s="94" t="n">
        <v>4.4</v>
      </c>
      <c r="V173" s="88" t="n">
        <v>772</v>
      </c>
      <c r="W173" s="95" t="n">
        <v>46307</v>
      </c>
      <c r="X173" s="95" t="n">
        <v>44733</v>
      </c>
      <c r="Y173" s="86" t="inlineStr">
        <is>
          <t>FBA</t>
        </is>
      </c>
      <c r="Z173" s="86" t="inlineStr">
        <is>
          <t>CN</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12:13:05</t>
        </is>
      </c>
      <c r="AY173" s="100" t="inlineStr">
        <is>
          <t>Prime Exclusive Discount</t>
        </is>
      </c>
      <c r="AZ173" s="100" t="inlineStr">
        <is>
          <t>11-01 to 12-01</t>
        </is>
      </c>
      <c r="BA173" s="101" t="n">
        <v>33.43</v>
      </c>
      <c r="BB173" s="101" t="n">
        <v>28.87</v>
      </c>
      <c r="BC173" s="90">
        <f>IF(AND(ISNUMBER(BA173),ISNUMBER(BB173),N(BA173)&gt;0),1-BB173/BA173,"")</f>
        <v/>
      </c>
      <c r="BD173" s="102" t="n">
        <v>93675</v>
      </c>
      <c r="BE173" s="102" t="n">
        <v>83926</v>
      </c>
      <c r="BF173" s="103">
        <f>IF(AND(ISNUMBER(BD173),ISNUMBER(BE173),N(BE173)&gt;0),BD173/BE173,"")</f>
        <v/>
      </c>
      <c r="BG173" s="100" t="inlineStr">
        <is>
          <t>N</t>
        </is>
      </c>
      <c r="BH173" s="100" t="inlineStr">
        <is>
          <t>Prime Exclusive already running before BFCM week; Buy Box RAISED in BFCM week (median $37.99 vs $33.43 before); List Price $45.49</t>
        </is>
      </c>
    </row>
    <row r="174" ht="62" customHeight="1">
      <c r="A174" s="10">
        <f>_xlfn.IMAGE("https://m.media-amazon.com/images/I/81Ct-nDEEnL._AC_SL1500_.jpg")</f>
        <v/>
      </c>
      <c r="B174" s="86" t="inlineStr">
        <is>
          <t>VACVELT</t>
        </is>
      </c>
      <c r="C174" s="32" t="inlineStr">
        <is>
          <t>Satin Sheets</t>
        </is>
      </c>
      <c r="D174" s="86" t="inlineStr">
        <is>
          <t>Beatable</t>
        </is>
      </c>
      <c r="E174" s="87" t="inlineStr">
        <is>
          <t>B0C9T1VY8J</t>
        </is>
      </c>
      <c r="F174" s="87" t="inlineStr">
        <is>
          <t>B0C1GJZB6F</t>
        </is>
      </c>
      <c r="G174" s="86" t="inlineStr">
        <is>
          <t>Full</t>
        </is>
      </c>
      <c r="H174" s="86" t="inlineStr">
        <is>
          <t>Hot Pink</t>
        </is>
      </c>
      <c r="I174" s="88" t="n">
        <v>35</v>
      </c>
      <c r="J174" s="32" t="inlineStr">
        <is>
          <t>B0C1GN34VQ (59%), B0C1GJZB6F (15%), B0C1GN34VL (8%)</t>
        </is>
      </c>
      <c r="K174" s="89" t="n">
        <v>21.99</v>
      </c>
      <c r="L174" s="89" t="n"/>
      <c r="M174" s="90">
        <f>IF(AND(ISNUMBER(L174),ISNUMBER(K174),N(K174)&gt;0),L174/K174-1,"")</f>
        <v/>
      </c>
      <c r="N174" s="91">
        <f>IF(M174="","No List Price",IF(M174&lt;=0,"At/below price",IF(M174&lt;=0.12,"&lt;=12% STR zone",IF(M174&lt;=0.25,"12-25%","&gt;25% over"))))</f>
        <v/>
      </c>
      <c r="O174" s="89" t="n">
        <v>29.95</v>
      </c>
      <c r="P174" s="92">
        <f>IF(AND(ISNUMBER(K174),ISNUMBER(O174),N(O174)&gt;0),K174/O174-1,"")</f>
        <v/>
      </c>
      <c r="Q174" s="32" t="inlineStr">
        <is>
          <t>Same size (Full). Ours live: Helium 10 Xray, 2026-10-13; 26 children</t>
        </is>
      </c>
      <c r="R174" s="88" t="n">
        <v>57010</v>
      </c>
      <c r="S174" s="88" t="n">
        <v>35</v>
      </c>
      <c r="T174" s="93">
        <f>IF(AND(ISNUMBER(K174),ISNUMBER(S174)),K174*S174*52/12,"")</f>
        <v/>
      </c>
      <c r="U174" s="94" t="n">
        <v>4.5</v>
      </c>
      <c r="V174" s="88" t="n">
        <v>1017</v>
      </c>
      <c r="W174" s="95" t="n">
        <v>46307</v>
      </c>
      <c r="X174" s="95" t="n"/>
      <c r="Y174" s="86" t="n"/>
      <c r="Z174" s="86" t="n"/>
      <c r="AA174" s="88" t="n">
        <v>23621</v>
      </c>
      <c r="AB174" s="88" t="n">
        <v>569</v>
      </c>
      <c r="AC174" s="96" t="n">
        <v>0.9628617755387157</v>
      </c>
      <c r="AD174" s="96" t="n">
        <v>0.03713822446128445</v>
      </c>
      <c r="AE174" s="32" t="inlineStr">
        <is>
          <t>satin sheets</t>
        </is>
      </c>
      <c r="AF174" s="96" t="n">
        <v>0.08949663435078956</v>
      </c>
      <c r="AG174" s="96" t="n"/>
      <c r="AH174" s="96" t="n"/>
      <c r="AI174" s="96" t="n">
        <v>0.02341137123745819</v>
      </c>
      <c r="AJ174" s="88" t="n">
        <v>276</v>
      </c>
      <c r="AK174" s="88" t="n">
        <v>146</v>
      </c>
      <c r="AL174" s="88" t="n">
        <v>106</v>
      </c>
      <c r="AM174" s="88" t="n">
        <v>293</v>
      </c>
      <c r="AN174" s="88" t="n">
        <v>23</v>
      </c>
      <c r="AO174" s="88" t="n">
        <v>2</v>
      </c>
      <c r="AP174" s="97" t="n">
        <v>1</v>
      </c>
      <c r="AQ174" s="92" t="n">
        <v>0.2448979591836733</v>
      </c>
      <c r="AR174" s="98" t="inlineStr">
        <is>
          <t>N</t>
        </is>
      </c>
      <c r="AS174" s="98" t="inlineStr">
        <is>
          <t>none</t>
        </is>
      </c>
      <c r="AT174" s="104" t="n"/>
      <c r="AU174" s="99" t="n">
        <v>21.99</v>
      </c>
      <c r="AV174" s="98" t="inlineStr">
        <is>
          <t>none</t>
        </is>
      </c>
      <c r="AW174" s="98" t="inlineStr">
        <is>
          <t>Y</t>
        </is>
      </c>
      <c r="AX174" s="98" t="inlineStr">
        <is>
          <t>2026-10-13 12:13:48</t>
        </is>
      </c>
      <c r="AY174" s="100" t="inlineStr">
        <is>
          <t>Prime Exclusive Discount</t>
        </is>
      </c>
      <c r="AZ174" s="100" t="inlineStr">
        <is>
          <t>11-18 to 12-05</t>
        </is>
      </c>
      <c r="BA174" s="101" t="n">
        <v>20.99</v>
      </c>
      <c r="BB174" s="101" t="n">
        <v>17.67</v>
      </c>
      <c r="BC174" s="90">
        <f>IF(AND(ISNUMBER(BA174),ISNUMBER(BB174),N(BA174)&gt;0),1-BB174/BA174,"")</f>
        <v/>
      </c>
      <c r="BD174" s="102" t="n">
        <v>56350</v>
      </c>
      <c r="BE174" s="102" t="n">
        <v>47030</v>
      </c>
      <c r="BF174" s="103">
        <f>IF(AND(ISNUMBER(BD174),ISNUMBER(BE174),N(BE174)&gt;0),BD174/BE174,"")</f>
        <v/>
      </c>
      <c r="BG174" s="100" t="inlineStr">
        <is>
          <t>N</t>
        </is>
      </c>
      <c r="BH174" s="100" t="inlineStr">
        <is>
          <t>Prime Exclusive already running before BFCM week; Buy Box RAISED in BFCM week (median $25.99 vs $20.99 before); List Price $46.38</t>
        </is>
      </c>
    </row>
    <row r="175" ht="62" customHeight="1">
      <c r="A175" s="10">
        <f>_xlfn.IMAGE("https://m.media-amazon.com/images/I/71NLoiG0PKL._AC_SL1500_.jpg")</f>
        <v/>
      </c>
      <c r="B175" s="86" t="inlineStr">
        <is>
          <t>Homiest</t>
        </is>
      </c>
      <c r="C175" s="32" t="inlineStr">
        <is>
          <t>Satin Sheets</t>
        </is>
      </c>
      <c r="D175" s="86" t="inlineStr">
        <is>
          <t>Beatable</t>
        </is>
      </c>
      <c r="E175" s="87" t="inlineStr">
        <is>
          <t>B0DYJKM99H</t>
        </is>
      </c>
      <c r="F175" s="87" t="inlineStr">
        <is>
          <t>B0DYJHHJQL</t>
        </is>
      </c>
      <c r="G175" s="86" t="inlineStr">
        <is>
          <t>Queen</t>
        </is>
      </c>
      <c r="H175" s="86" t="inlineStr">
        <is>
          <t>Blush Pink</t>
        </is>
      </c>
      <c r="I175" s="88" t="n"/>
      <c r="J175" s="32" t="inlineStr"/>
      <c r="K175" s="89" t="n">
        <v>27.99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26 children</t>
        </is>
      </c>
      <c r="R175" s="88" t="n">
        <v>89437</v>
      </c>
      <c r="S175" s="88" t="n">
        <v>18</v>
      </c>
      <c r="T175" s="93">
        <f>IF(AND(ISNUMBER(K175),ISNUMBER(S175)),K175*S175*52/12,"")</f>
        <v/>
      </c>
      <c r="U175" s="94" t="n">
        <v>4.5</v>
      </c>
      <c r="V175" s="88" t="n">
        <v>205</v>
      </c>
      <c r="W175" s="95" t="n">
        <v>46307</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27.99</v>
      </c>
      <c r="AV175" s="98" t="inlineStr">
        <is>
          <t>none</t>
        </is>
      </c>
      <c r="AW175" s="98" t="inlineStr">
        <is>
          <t>Y</t>
        </is>
      </c>
      <c r="AX175" s="98" t="inlineStr">
        <is>
          <t>2026-10-13 12:12:53</t>
        </is>
      </c>
      <c r="AY175" s="100" t="inlineStr">
        <is>
          <t>None</t>
        </is>
      </c>
      <c r="AZ175" s="105" t="n"/>
      <c r="BA175" s="101" t="n">
        <v>28.99</v>
      </c>
      <c r="BB175" s="101" t="n">
        <v>28.99</v>
      </c>
      <c r="BC175" s="90">
        <f>IF(AND(ISNUMBER(BA175),ISNUMBER(BB175),N(BA175)&gt;0),1-BB175/BA175,"")</f>
        <v/>
      </c>
      <c r="BD175" s="102" t="n">
        <v>63419</v>
      </c>
      <c r="BE175" s="102" t="n">
        <v>61469</v>
      </c>
      <c r="BF175" s="103">
        <f>IF(AND(ISNUMBER(BD175),ISNUMBER(BE175),N(BE175)&gt;0),BD175/BE175,"")</f>
        <v/>
      </c>
      <c r="BG175" s="100" t="inlineStr">
        <is>
          <t>N</t>
        </is>
      </c>
      <c r="BH175" s="100" t="inlineStr">
        <is>
          <t>List Price $34.99</t>
        </is>
      </c>
    </row>
    <row r="176" ht="62" customHeight="1">
      <c r="A176" s="10">
        <f>_xlfn.IMAGE("https://m.media-amazon.com/images/I/91BOC0gJVXL._AC_SL1500_.jpg")</f>
        <v/>
      </c>
      <c r="B176" s="86" t="inlineStr">
        <is>
          <t>HommxJF</t>
        </is>
      </c>
      <c r="C176" s="32" t="inlineStr">
        <is>
          <t>Satin Sheets</t>
        </is>
      </c>
      <c r="D176" s="86" t="inlineStr">
        <is>
          <t>Beatable</t>
        </is>
      </c>
      <c r="E176" s="87" t="inlineStr">
        <is>
          <t>B0BJZT93SL</t>
        </is>
      </c>
      <c r="F176" s="87" t="inlineStr">
        <is>
          <t>B09V52BVJB</t>
        </is>
      </c>
      <c r="G176" s="86" t="inlineStr">
        <is>
          <t>Full</t>
        </is>
      </c>
      <c r="H176" s="86" t="inlineStr">
        <is>
          <t>Blush Pink</t>
        </is>
      </c>
      <c r="I176" s="88" t="n">
        <v>32</v>
      </c>
      <c r="J176" s="32" t="inlineStr">
        <is>
          <t>B09V52BVJB (55%), B0BCKD5X64 (25%), B09V52C9M9 (10%)</t>
        </is>
      </c>
      <c r="K176" s="89" t="n">
        <v>24.99</v>
      </c>
      <c r="L176" s="89" t="n"/>
      <c r="M176" s="90">
        <f>IF(AND(ISNUMBER(L176),ISNUMBER(K176),N(K176)&gt;0),L176/K176-1,"")</f>
        <v/>
      </c>
      <c r="N176" s="91">
        <f>IF(M176="","No List Price",IF(M176&lt;=0,"At/below price",IF(M176&lt;=0.12,"&lt;=12% STR zone",IF(M176&lt;=0.25,"12-25%","&gt;25% over"))))</f>
        <v/>
      </c>
      <c r="O176" s="89" t="n">
        <v>29.95</v>
      </c>
      <c r="P176" s="92">
        <f>IF(AND(ISNUMBER(K176),ISNUMBER(O176),N(O176)&gt;0),K176/O176-1,"")</f>
        <v/>
      </c>
      <c r="Q176" s="32" t="inlineStr">
        <is>
          <t>Same size (Full). Ours live: Helium 10 Xray, 2026-10-13; 26 children</t>
        </is>
      </c>
      <c r="R176" s="88" t="n">
        <v>180867</v>
      </c>
      <c r="S176" s="88" t="n">
        <v>18</v>
      </c>
      <c r="T176" s="93">
        <f>IF(AND(ISNUMBER(K176),ISNUMBER(S176)),K176*S176*52/12,"")</f>
        <v/>
      </c>
      <c r="U176" s="94" t="n">
        <v>4.3</v>
      </c>
      <c r="V176" s="88" t="n">
        <v>1032</v>
      </c>
      <c r="W176" s="95" t="n">
        <v>46307</v>
      </c>
      <c r="X176" s="95" t="n"/>
      <c r="Y176" s="86" t="n"/>
      <c r="Z176" s="86" t="n"/>
      <c r="AA176" s="88" t="n">
        <v>16567</v>
      </c>
      <c r="AB176" s="88" t="n">
        <v>357</v>
      </c>
      <c r="AC176" s="96" t="n">
        <v>0.8554338745699279</v>
      </c>
      <c r="AD176" s="96" t="n">
        <v>0.1445661254300719</v>
      </c>
      <c r="AE176" s="32" t="inlineStr">
        <is>
          <t>satin sheets</t>
        </is>
      </c>
      <c r="AF176" s="96" t="n">
        <v>0.2936560632582845</v>
      </c>
      <c r="AG176" s="96" t="n">
        <v>0.02323896903482827</v>
      </c>
      <c r="AH176" s="96" t="n"/>
      <c r="AI176" s="96" t="n"/>
      <c r="AJ176" s="88" t="n">
        <v>238</v>
      </c>
      <c r="AK176" s="88" t="n">
        <v>142</v>
      </c>
      <c r="AL176" s="88" t="n">
        <v>79</v>
      </c>
      <c r="AM176" s="88" t="n">
        <v>119</v>
      </c>
      <c r="AN176" s="88" t="n">
        <v>63</v>
      </c>
      <c r="AO176" s="88" t="n">
        <v>25</v>
      </c>
      <c r="AP176" s="97" t="n">
        <v>1.017857142857143</v>
      </c>
      <c r="AQ176" s="92" t="n">
        <v>0.4723247232472323</v>
      </c>
      <c r="AR176" s="98" t="inlineStr">
        <is>
          <t>N</t>
        </is>
      </c>
      <c r="AS176" s="98" t="inlineStr">
        <is>
          <t>none</t>
        </is>
      </c>
      <c r="AT176" s="104" t="n"/>
      <c r="AU176" s="99" t="n">
        <v>24.99</v>
      </c>
      <c r="AV176" s="98" t="inlineStr">
        <is>
          <t>none</t>
        </is>
      </c>
      <c r="AW176" s="98" t="inlineStr">
        <is>
          <t>Y</t>
        </is>
      </c>
      <c r="AX176" s="98" t="inlineStr">
        <is>
          <t>2026-10-13 12:13:02</t>
        </is>
      </c>
      <c r="AY176" s="100" t="inlineStr">
        <is>
          <t>None</t>
        </is>
      </c>
      <c r="AZ176" s="105" t="n"/>
      <c r="BA176" s="101" t="n">
        <v>24.99</v>
      </c>
      <c r="BB176" s="101" t="n">
        <v>24.99</v>
      </c>
      <c r="BC176" s="90">
        <f>IF(AND(ISNUMBER(BA176),ISNUMBER(BB176),N(BA176)&gt;0),1-BB176/BA176,"")</f>
        <v/>
      </c>
      <c r="BD176" s="102" t="n">
        <v>107701</v>
      </c>
      <c r="BE176" s="102" t="n">
        <v>90023</v>
      </c>
      <c r="BF176" s="103">
        <f>IF(AND(ISNUMBER(BD176),ISNUMBER(BE176),N(BE176)&gt;0),BD176/BE176,"")</f>
        <v/>
      </c>
      <c r="BG176" s="100" t="inlineStr">
        <is>
          <t>N</t>
        </is>
      </c>
      <c r="BH176" s="100" t="inlineStr">
        <is>
          <t>List Price $26.99</t>
        </is>
      </c>
    </row>
    <row r="177" ht="62" customHeight="1">
      <c r="A177" s="10">
        <f>_xlfn.IMAGE("https://images-na.ssl-images-amazon.com/images/I/71eq-pAu2pL.jpg")</f>
        <v/>
      </c>
      <c r="B177" s="86" t="inlineStr">
        <is>
          <t>LIFCOM</t>
        </is>
      </c>
      <c r="C177" s="32" t="inlineStr">
        <is>
          <t>LIFCOM Satin Sheets Queen,4Pcs Bed Set with 15" Deep Pocket,Brown</t>
        </is>
      </c>
      <c r="D177" s="86" t="inlineStr">
        <is>
          <t>Beatable</t>
        </is>
      </c>
      <c r="E177" s="87" t="inlineStr">
        <is>
          <t>B0DBVYL693</t>
        </is>
      </c>
      <c r="F177" s="87" t="inlineStr">
        <is>
          <t>B0DCC78S4N</t>
        </is>
      </c>
      <c r="G177" s="86" t="inlineStr">
        <is>
          <t>Queen</t>
        </is>
      </c>
      <c r="H177" s="86" t="inlineStr">
        <is>
          <t>Brown</t>
        </is>
      </c>
      <c r="I177" s="88" t="n">
        <v>73</v>
      </c>
      <c r="J177" s="32" t="inlineStr">
        <is>
          <t>B0DCC5ZQNW (21%), B0DCC78S4N (17%), B0DC5L2BHY (9%), B0DCC8MLV5 (8%), B0DCC8WZCH (7%)</t>
        </is>
      </c>
      <c r="K177" s="89" t="n">
        <v>23.99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26 children</t>
        </is>
      </c>
      <c r="R177" s="88" t="n">
        <v>96002</v>
      </c>
      <c r="S177" s="88" t="n">
        <v>18</v>
      </c>
      <c r="T177" s="93">
        <f>IF(AND(ISNUMBER(K177),ISNUMBER(S177)),K177*S177*52/12,"")</f>
        <v/>
      </c>
      <c r="U177" s="94" t="n">
        <v>4.2</v>
      </c>
      <c r="V177" s="88" t="n">
        <v>361</v>
      </c>
      <c r="W177" s="95" t="n">
        <v>46307</v>
      </c>
      <c r="X177" s="95" t="n">
        <v>45510</v>
      </c>
      <c r="Y177" s="86" t="inlineStr">
        <is>
          <t>FBA</t>
        </is>
      </c>
      <c r="Z177" s="86" t="inlineStr">
        <is>
          <t>CN</t>
        </is>
      </c>
      <c r="AA177" s="88" t="n">
        <v>23278</v>
      </c>
      <c r="AB177" s="88" t="n">
        <v>634</v>
      </c>
      <c r="AC177" s="96" t="n">
        <v>0.4926462797491192</v>
      </c>
      <c r="AD177" s="96" t="n">
        <v>0.507353720250881</v>
      </c>
      <c r="AE177" s="32" t="inlineStr">
        <is>
          <t>brown sheets</t>
        </is>
      </c>
      <c r="AF177" s="96" t="n">
        <v>0.8651086863132571</v>
      </c>
      <c r="AG177" s="96" t="n"/>
      <c r="AH177" s="96" t="n"/>
      <c r="AI177" s="96" t="n">
        <v>0.1246241086003952</v>
      </c>
      <c r="AJ177" s="88" t="n">
        <v>270</v>
      </c>
      <c r="AK177" s="88" t="n">
        <v>169</v>
      </c>
      <c r="AL177" s="88" t="n">
        <v>72</v>
      </c>
      <c r="AM177" s="88" t="n">
        <v>364</v>
      </c>
      <c r="AN177" s="88" t="n">
        <v>70</v>
      </c>
      <c r="AO177" s="88" t="n">
        <v>29</v>
      </c>
      <c r="AP177" s="97" t="n">
        <v>0.5539772727272727</v>
      </c>
      <c r="AQ177" s="92" t="n">
        <v>-0.4424040066777963</v>
      </c>
      <c r="AR177" s="98" t="inlineStr">
        <is>
          <t>N</t>
        </is>
      </c>
      <c r="AS177" s="98" t="inlineStr">
        <is>
          <t>none</t>
        </is>
      </c>
      <c r="AT177" s="104" t="n"/>
      <c r="AU177" s="99" t="n">
        <v>23.99</v>
      </c>
      <c r="AV177" s="98" t="inlineStr">
        <is>
          <t>none</t>
        </is>
      </c>
      <c r="AW177" s="98" t="inlineStr">
        <is>
          <t>Y</t>
        </is>
      </c>
      <c r="AX177" s="98" t="inlineStr">
        <is>
          <t>2026-10-13 12:13:09</t>
        </is>
      </c>
      <c r="AY177" s="100" t="inlineStr">
        <is>
          <t>Prime Exclusive Discount</t>
        </is>
      </c>
      <c r="AZ177" s="100" t="inlineStr">
        <is>
          <t>11-24 to 12-01</t>
        </is>
      </c>
      <c r="BA177" s="101" t="n">
        <v>22.99</v>
      </c>
      <c r="BB177" s="101" t="n">
        <v>19.27</v>
      </c>
      <c r="BC177" s="90">
        <f>IF(AND(ISNUMBER(BA177),ISNUMBER(BB177),N(BA177)&gt;0),1-BB177/BA177,"")</f>
        <v/>
      </c>
      <c r="BD177" s="102" t="n">
        <v>66815</v>
      </c>
      <c r="BE177" s="102" t="n">
        <v>49602</v>
      </c>
      <c r="BF177" s="103">
        <f>IF(AND(ISNUMBER(BD177),ISNUMBER(BE177),N(BE177)&gt;0),BD177/BE177,"")</f>
        <v/>
      </c>
      <c r="BG177" s="100" t="inlineStr">
        <is>
          <t>N</t>
        </is>
      </c>
      <c r="BH177" s="100" t="inlineStr">
        <is>
          <t>Buy Box RAISED in BFCM week (median $24.39 vs $22.99 before); List Price $31.99</t>
        </is>
      </c>
    </row>
    <row r="178" ht="62" customHeight="1">
      <c r="A178" s="10">
        <f>_xlfn.IMAGE("https://images-na.ssl-images-amazon.com/images/I/81HS7e6wrTL.jpg")</f>
        <v/>
      </c>
      <c r="B178" s="86" t="inlineStr">
        <is>
          <t>Madison Park</t>
        </is>
      </c>
      <c r="C178" s="32" t="inlineStr">
        <is>
          <t>Satin Sheets</t>
        </is>
      </c>
      <c r="D178" s="86" t="inlineStr">
        <is>
          <t>Beatable</t>
        </is>
      </c>
      <c r="E178" s="87" t="inlineStr">
        <is>
          <t>B0DJ2HJ9M4</t>
        </is>
      </c>
      <c r="F178" s="87" t="inlineStr">
        <is>
          <t>B09HVCPNLX</t>
        </is>
      </c>
      <c r="G178" s="86" t="inlineStr">
        <is>
          <t>Queen</t>
        </is>
      </c>
      <c r="H178" s="86" t="inlineStr">
        <is>
          <t>Ivory</t>
        </is>
      </c>
      <c r="I178" s="88" t="n">
        <v>44</v>
      </c>
      <c r="J178" s="32" t="inlineStr">
        <is>
          <t>B0C5CG12M2 (27%), B09HVCPNLX (24%), B0C25NTWCM (18%), B09HVDQ982 (9%), B0DDQ6PNMP (7%)</t>
        </is>
      </c>
      <c r="K178" s="89" t="n">
        <v>26.99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26 children</t>
        </is>
      </c>
      <c r="R178" s="88" t="n">
        <v>76753</v>
      </c>
      <c r="S178" s="88" t="n">
        <v>18</v>
      </c>
      <c r="T178" s="93">
        <f>IF(AND(ISNUMBER(K178),ISNUMBER(S178)),K178*S178*52/12,"")</f>
        <v/>
      </c>
      <c r="U178" s="94" t="n">
        <v>4.5</v>
      </c>
      <c r="V178" s="88" t="n">
        <v>127</v>
      </c>
      <c r="W178" s="95" t="n">
        <v>46307</v>
      </c>
      <c r="X178" s="95" t="n"/>
      <c r="Y178" s="86" t="n"/>
      <c r="Z178" s="86" t="n"/>
      <c r="AA178" s="88" t="n">
        <v>35631</v>
      </c>
      <c r="AB178" s="88" t="n">
        <v>592</v>
      </c>
      <c r="AC178" s="96" t="n">
        <v>0.9497345738261626</v>
      </c>
      <c r="AD178" s="96" t="n">
        <v>0.05026542617383739</v>
      </c>
      <c r="AE178" s="32" t="inlineStr">
        <is>
          <t>satin sheets</t>
        </is>
      </c>
      <c r="AF178" s="96" t="n">
        <v>0.305408211950268</v>
      </c>
      <c r="AG178" s="96" t="n"/>
      <c r="AH178" s="96" t="n"/>
      <c r="AI178" s="96" t="n">
        <v>0</v>
      </c>
      <c r="AJ178" s="88" t="n">
        <v>249</v>
      </c>
      <c r="AK178" s="88" t="n">
        <v>123</v>
      </c>
      <c r="AL178" s="88" t="n">
        <v>105</v>
      </c>
      <c r="AM178" s="88" t="n">
        <v>343</v>
      </c>
      <c r="AN178" s="88" t="n">
        <v>20</v>
      </c>
      <c r="AO178" s="88" t="n">
        <v>7</v>
      </c>
      <c r="AP178" s="97" t="n">
        <v>0.6901408450704226</v>
      </c>
      <c r="AQ178" s="92" t="n">
        <v>0.1848341232227488</v>
      </c>
      <c r="AR178" s="98" t="inlineStr">
        <is>
          <t>N</t>
        </is>
      </c>
      <c r="AS178" s="98" t="inlineStr">
        <is>
          <t>none</t>
        </is>
      </c>
      <c r="AT178" s="104" t="n"/>
      <c r="AU178" s="99" t="n">
        <v>26.99</v>
      </c>
      <c r="AV178" s="98" t="inlineStr">
        <is>
          <t>none</t>
        </is>
      </c>
      <c r="AW178" s="98" t="inlineStr">
        <is>
          <t>Y</t>
        </is>
      </c>
      <c r="AX178" s="98" t="inlineStr">
        <is>
          <t>2026-10-13 12:13:26</t>
        </is>
      </c>
      <c r="AY178" s="100" t="inlineStr">
        <is>
          <t>None</t>
        </is>
      </c>
      <c r="AZ178" s="105" t="n"/>
      <c r="BA178" s="101" t="n">
        <v>30.99</v>
      </c>
      <c r="BB178" s="101" t="n">
        <v>30.99</v>
      </c>
      <c r="BC178" s="90">
        <f>IF(AND(ISNUMBER(BA178),ISNUMBER(BB178),N(BA178)&gt;0),1-BB178/BA178,"")</f>
        <v/>
      </c>
      <c r="BD178" s="102" t="n">
        <v>38276</v>
      </c>
      <c r="BE178" s="102" t="n">
        <v>39554</v>
      </c>
      <c r="BF178" s="103">
        <f>IF(AND(ISNUMBER(BD178),ISNUMBER(BE178),N(BE178)&gt;0),BD178/BE178,"")</f>
        <v/>
      </c>
      <c r="BG178" s="100" t="inlineStr">
        <is>
          <t>N</t>
        </is>
      </c>
      <c r="BH178" s="100" t="inlineStr">
        <is>
          <t>List Price $35.99</t>
        </is>
      </c>
    </row>
    <row r="179" ht="62" customHeight="1">
      <c r="A179" s="10">
        <f>_xlfn.IMAGE("https://m.media-amazon.com/images/I/71ImrNlbFKL._AC_SL1500_.jpg")</f>
        <v/>
      </c>
      <c r="B179" s="86" t="inlineStr">
        <is>
          <t>MK Home</t>
        </is>
      </c>
      <c r="C179" s="32" t="inlineStr">
        <is>
          <t>Satin Sheets</t>
        </is>
      </c>
      <c r="D179" s="86" t="inlineStr">
        <is>
          <t>Beatable</t>
        </is>
      </c>
      <c r="E179" s="87" t="inlineStr">
        <is>
          <t>B07H522QXD</t>
        </is>
      </c>
      <c r="F179" s="87" t="inlineStr">
        <is>
          <t>B07FGFRZ94</t>
        </is>
      </c>
      <c r="G179" s="86" t="inlineStr">
        <is>
          <t>Queen</t>
        </is>
      </c>
      <c r="H179" s="86" t="inlineStr">
        <is>
          <t>Red</t>
        </is>
      </c>
      <c r="I179" s="88" t="n"/>
      <c r="J179" s="32" t="inlineStr"/>
      <c r="K179" s="89" t="n">
        <v>18.99</v>
      </c>
      <c r="L179" s="89" t="n"/>
      <c r="M179" s="90">
        <f>IF(AND(ISNUMBER(L179),ISNUMBER(K179),N(K179)&gt;0),L179/K179-1,"")</f>
        <v/>
      </c>
      <c r="N179" s="91">
        <f>IF(M179="","No List Price",IF(M179&lt;=0,"At/below price",IF(M179&lt;=0.12,"&lt;=12% STR zone",IF(M179&lt;=0.25,"12-25%","&gt;25% over"))))</f>
        <v/>
      </c>
      <c r="O179" s="89" t="n">
        <v>31.95</v>
      </c>
      <c r="P179" s="92">
        <f>IF(AND(ISNUMBER(K179),ISNUMBER(O179),N(O179)&gt;0),K179/O179-1,"")</f>
        <v/>
      </c>
      <c r="Q179" s="32" t="inlineStr">
        <is>
          <t>Same size (Queen). Ours live: Helium 10 Xray, 2026-10-13; 26 children</t>
        </is>
      </c>
      <c r="R179" s="88" t="n">
        <v>59039</v>
      </c>
      <c r="S179" s="88" t="n">
        <v>18</v>
      </c>
      <c r="T179" s="93">
        <f>IF(AND(ISNUMBER(K179),ISNUMBER(S179)),K179*S179*52/12,"")</f>
        <v/>
      </c>
      <c r="U179" s="94" t="n">
        <v>4.3</v>
      </c>
      <c r="V179" s="88" t="n">
        <v>10761</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18.99</v>
      </c>
      <c r="AV179" s="98" t="inlineStr">
        <is>
          <t>none</t>
        </is>
      </c>
      <c r="AW179" s="98" t="inlineStr">
        <is>
          <t>Y</t>
        </is>
      </c>
      <c r="AX179" s="98" t="inlineStr">
        <is>
          <t>2026-10-13 12:13:19</t>
        </is>
      </c>
      <c r="AY179" s="100" t="inlineStr">
        <is>
          <t>None</t>
        </is>
      </c>
      <c r="AZ179" s="105" t="n"/>
      <c r="BA179" s="101" t="n">
        <v>28.99</v>
      </c>
      <c r="BB179" s="101" t="n">
        <v>28.99</v>
      </c>
      <c r="BC179" s="90">
        <f>IF(AND(ISNUMBER(BA179),ISNUMBER(BB179),N(BA179)&gt;0),1-BB179/BA179,"")</f>
        <v/>
      </c>
      <c r="BD179" s="102" t="n">
        <v>72573</v>
      </c>
      <c r="BE179" s="102" t="n">
        <v>103377</v>
      </c>
      <c r="BF179" s="103">
        <f>IF(AND(ISNUMBER(BD179),ISNUMBER(BE179),N(BE179)&gt;0),BD179/BE179,"")</f>
        <v/>
      </c>
      <c r="BG179" s="100" t="inlineStr">
        <is>
          <t>N</t>
        </is>
      </c>
      <c r="BH179" s="100" t="inlineStr">
        <is>
          <t>List Price $59.99</t>
        </is>
      </c>
    </row>
    <row r="180" ht="62" customHeight="1">
      <c r="A180" s="10">
        <f>_xlfn.IMAGE("https://images-na.ssl-images-amazon.com/images/I/71Upo7a638S.jpg")</f>
        <v/>
      </c>
      <c r="B180" s="86" t="inlineStr">
        <is>
          <t>Homiest</t>
        </is>
      </c>
      <c r="C180" s="32" t="inlineStr">
        <is>
          <t>Satin Sheets</t>
        </is>
      </c>
      <c r="D180" s="86" t="inlineStr">
        <is>
          <t>Beatable</t>
        </is>
      </c>
      <c r="E180" s="87" t="inlineStr">
        <is>
          <t>B07XBR22W1</t>
        </is>
      </c>
      <c r="F180" s="87" t="inlineStr">
        <is>
          <t>B0B5Z2B9NN</t>
        </is>
      </c>
      <c r="G180" s="86" t="inlineStr">
        <is>
          <t>EXTRA DEEP pocket - Full size</t>
        </is>
      </c>
      <c r="H180" s="86" t="inlineStr">
        <is>
          <t>Blackish Green</t>
        </is>
      </c>
      <c r="I180" s="88" t="n">
        <v>70</v>
      </c>
      <c r="J180" s="32" t="inlineStr">
        <is>
          <t>B07VTMDK79 (19%), B0C2824DHT (16%), B07XPVHHP9 (9%), B07HN29LH1 (6%), B0B2QZ8NKY (5%)</t>
        </is>
      </c>
      <c r="K180" s="89" t="n">
        <v>23.99</v>
      </c>
      <c r="L180" s="89" t="n">
        <v>25.99</v>
      </c>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28165</v>
      </c>
      <c r="S180" s="88" t="n">
        <v>5</v>
      </c>
      <c r="T180" s="93">
        <f>IF(AND(ISNUMBER(K180),ISNUMBER(S180)),K180*S180*52/12,"")</f>
        <v/>
      </c>
      <c r="U180" s="94" t="n">
        <v>4.4</v>
      </c>
      <c r="V180" s="88" t="n">
        <v>12125</v>
      </c>
      <c r="W180" s="95" t="n">
        <v>46307</v>
      </c>
      <c r="X180" s="95" t="n"/>
      <c r="Y180" s="86" t="n"/>
      <c r="Z180" s="86" t="n"/>
      <c r="AA180" s="88" t="n">
        <v>20002</v>
      </c>
      <c r="AB180" s="88" t="n">
        <v>618</v>
      </c>
      <c r="AC180" s="96" t="n">
        <v>1</v>
      </c>
      <c r="AD180" s="96" t="n">
        <v>0</v>
      </c>
      <c r="AE180" s="32" t="inlineStr">
        <is>
          <t>satin sheets</t>
        </is>
      </c>
      <c r="AF180" s="96" t="n">
        <v>0.08344165583441655</v>
      </c>
      <c r="AG180" s="96" t="n"/>
      <c r="AH180" s="96" t="n"/>
      <c r="AI180" s="96" t="n">
        <v>0.02124787521247875</v>
      </c>
      <c r="AJ180" s="88" t="n">
        <v>294</v>
      </c>
      <c r="AK180" s="88" t="n">
        <v>167</v>
      </c>
      <c r="AL180" s="88" t="n">
        <v>102</v>
      </c>
      <c r="AM180" s="88" t="n">
        <v>324</v>
      </c>
      <c r="AN180" s="88" t="n">
        <v>0</v>
      </c>
      <c r="AO180" s="88" t="n">
        <v>0</v>
      </c>
      <c r="AP180" s="97" t="n"/>
      <c r="AQ180" s="92" t="n"/>
      <c r="AR180" s="98" t="inlineStr">
        <is>
          <t>Y</t>
        </is>
      </c>
      <c r="AS180" s="98" t="inlineStr">
        <is>
          <t>Typical price</t>
        </is>
      </c>
      <c r="AT180" s="99" t="n">
        <v>25.99</v>
      </c>
      <c r="AU180" s="99" t="n">
        <v>23.99</v>
      </c>
      <c r="AV180" s="98" t="inlineStr">
        <is>
          <t>none</t>
        </is>
      </c>
      <c r="AW180" s="98" t="inlineStr">
        <is>
          <t>Y</t>
        </is>
      </c>
      <c r="AX180" s="98" t="inlineStr">
        <is>
          <t>2026-10-13 12:12:56</t>
        </is>
      </c>
      <c r="AY180" s="100" t="inlineStr">
        <is>
          <t>Prime Exclusive Discount</t>
        </is>
      </c>
      <c r="AZ180" s="100" t="inlineStr">
        <is>
          <t>11-04 to 12-05</t>
        </is>
      </c>
      <c r="BA180" s="101" t="n">
        <v>23.39</v>
      </c>
      <c r="BB180" s="101" t="n">
        <v>21.32</v>
      </c>
      <c r="BC180" s="90">
        <f>IF(AND(ISNUMBER(BA180),ISNUMBER(BB180),N(BA180)&gt;0),1-BB180/BA180,"")</f>
        <v/>
      </c>
      <c r="BD180" s="102" t="n">
        <v>20924</v>
      </c>
      <c r="BE180" s="102" t="n">
        <v>20898</v>
      </c>
      <c r="BF180" s="103">
        <f>IF(AND(ISNUMBER(BD180),ISNUMBER(BE180),N(BE180)&gt;0),BD180/BE180,"")</f>
        <v/>
      </c>
      <c r="BG180" s="100" t="inlineStr">
        <is>
          <t>N</t>
        </is>
      </c>
      <c r="BH180" s="100" t="inlineStr">
        <is>
          <t>Prime Exclusive already running before BFCM week; List Price $52.78</t>
        </is>
      </c>
    </row>
    <row r="181" ht="62" customHeight="1">
      <c r="A181" s="10">
        <f>_xlfn.IMAGE("https://m.media-amazon.com/images/I/81fhEyi-eTL._AC_SL1500_.jpg")</f>
        <v/>
      </c>
      <c r="B181" s="86" t="inlineStr">
        <is>
          <t>Manyshofu</t>
        </is>
      </c>
      <c r="C181" s="32" t="inlineStr">
        <is>
          <t>Satin Sheets</t>
        </is>
      </c>
      <c r="D181" s="86" t="inlineStr">
        <is>
          <t>Beatable</t>
        </is>
      </c>
      <c r="E181" s="87" t="inlineStr">
        <is>
          <t>B09YQW7HBK</t>
        </is>
      </c>
      <c r="F181" s="87" t="inlineStr">
        <is>
          <t>B09S5RNLN9</t>
        </is>
      </c>
      <c r="G181" s="86" t="inlineStr">
        <is>
          <t>California King</t>
        </is>
      </c>
      <c r="H181" s="86" t="inlineStr">
        <is>
          <t>Dark Green</t>
        </is>
      </c>
      <c r="I181" s="88" t="n"/>
      <c r="J181" s="32" t="inlineStr"/>
      <c r="K181" s="89" t="n">
        <v>31.99</v>
      </c>
      <c r="L181" s="89" t="n"/>
      <c r="M181" s="90">
        <f>IF(AND(ISNUMBER(L181),ISNUMBER(K181),N(K181)&gt;0),L181/K181-1,"")</f>
        <v/>
      </c>
      <c r="N181" s="91">
        <f>IF(M181="","No List Price",IF(M181&lt;=0,"At/below price",IF(M181&lt;=0.12,"&lt;=12% STR zone",IF(M181&lt;=0.25,"12-25%","&gt;25% over"))))</f>
        <v/>
      </c>
      <c r="O181" s="89" t="n">
        <v>32.90432150313153</v>
      </c>
      <c r="P181" s="92">
        <f>IF(AND(ISNUMBER(K181),ISNUMBER(O181),N(O181)&gt;0),K181/O181-1,"")</f>
        <v/>
      </c>
      <c r="Q181" s="32" t="inlineStr">
        <is>
          <t>vs our blended price (Command Center, Mar 2026 - STALE)</t>
        </is>
      </c>
      <c r="R181" s="88" t="n">
        <v>300374</v>
      </c>
      <c r="S181" s="88" t="n">
        <v>5</v>
      </c>
      <c r="T181" s="93">
        <f>IF(AND(ISNUMBER(K181),ISNUMBER(S181)),K181*S181*52/12,"")</f>
        <v/>
      </c>
      <c r="U181" s="94" t="n">
        <v>4.3</v>
      </c>
      <c r="V181" s="88" t="n">
        <v>907</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28.99</v>
      </c>
      <c r="AV181" s="98" t="inlineStr">
        <is>
          <t>none</t>
        </is>
      </c>
      <c r="AW181" s="98" t="inlineStr">
        <is>
          <t>Y</t>
        </is>
      </c>
      <c r="AX181" s="98" t="inlineStr">
        <is>
          <t>2026-10-13 12:13:29</t>
        </is>
      </c>
      <c r="AY181" s="100" t="inlineStr">
        <is>
          <t>None</t>
        </is>
      </c>
      <c r="AZ181" s="105" t="n"/>
      <c r="BA181" s="101" t="n">
        <v>35.99</v>
      </c>
      <c r="BB181" s="101" t="n">
        <v>43.99</v>
      </c>
      <c r="BC181" s="90">
        <f>IF(AND(ISNUMBER(BA181),ISNUMBER(BB181),N(BA181)&gt;0),1-BB181/BA181,"")</f>
        <v/>
      </c>
      <c r="BD181" s="102" t="n">
        <v>162880</v>
      </c>
      <c r="BE181" s="102" t="n">
        <v>197382</v>
      </c>
      <c r="BF181" s="103">
        <f>IF(AND(ISNUMBER(BD181),ISNUMBER(BE181),N(BE181)&gt;0),BD181/BE181,"")</f>
        <v/>
      </c>
      <c r="BG181" s="100" t="inlineStr">
        <is>
          <t>Y</t>
        </is>
      </c>
      <c r="BH181" s="100" t="inlineStr">
        <is>
          <t>Buy Box RAISED in BFCM week (median $43.99 vs $35.99 before); List Price $46.99</t>
        </is>
      </c>
    </row>
    <row r="182" ht="62" customHeight="1">
      <c r="A182" s="10">
        <f>_xlfn.IMAGE("https://m.media-amazon.com/images/I/71kVc8L0urL._AC_SL1500_.jpg")</f>
        <v/>
      </c>
      <c r="B182" s="86" t="inlineStr">
        <is>
          <t>Martex</t>
        </is>
      </c>
      <c r="C182" s="32" t="inlineStr">
        <is>
          <t>Satin Sheets</t>
        </is>
      </c>
      <c r="D182" s="86" t="inlineStr">
        <is>
          <t>Beatable</t>
        </is>
      </c>
      <c r="E182" s="87" t="inlineStr">
        <is>
          <t>B0DLGX8P9D</t>
        </is>
      </c>
      <c r="F182" s="87" t="inlineStr">
        <is>
          <t>B07X49LFDC</t>
        </is>
      </c>
      <c r="G182" s="86" t="inlineStr">
        <is>
          <t>Queen</t>
        </is>
      </c>
      <c r="H182" s="86" t="inlineStr">
        <is>
          <t>Pink</t>
        </is>
      </c>
      <c r="I182" s="88" t="n"/>
      <c r="J182" s="32" t="inlineStr"/>
      <c r="K182" s="89" t="n">
        <v>23.34</v>
      </c>
      <c r="L182" s="89" t="n"/>
      <c r="M182" s="90">
        <f>IF(AND(ISNUMBER(L182),ISNUMBER(K182),N(K182)&gt;0),L182/K182-1,"")</f>
        <v/>
      </c>
      <c r="N182" s="91">
        <f>IF(M182="","No List Price",IF(M182&lt;=0,"At/below price",IF(M182&lt;=0.12,"&lt;=12% STR zone",IF(M182&lt;=0.25,"12-25%","&gt;25% over"))))</f>
        <v/>
      </c>
      <c r="O182" s="89" t="n">
        <v>31.95</v>
      </c>
      <c r="P182" s="92">
        <f>IF(AND(ISNUMBER(K182),ISNUMBER(O182),N(O182)&gt;0),K182/O182-1,"")</f>
        <v/>
      </c>
      <c r="Q182" s="32" t="inlineStr">
        <is>
          <t>Same size (Queen). Ours live: Helium 10 Xray, 2026-10-13; 26 children</t>
        </is>
      </c>
      <c r="R182" s="88" t="n">
        <v>52458</v>
      </c>
      <c r="S182" s="88" t="n">
        <v>5</v>
      </c>
      <c r="T182" s="93">
        <f>IF(AND(ISNUMBER(K182),ISNUMBER(S182)),K182*S182*52/12,"")</f>
        <v/>
      </c>
      <c r="U182" s="94" t="n">
        <v>4.3</v>
      </c>
      <c r="V182" s="88" t="n">
        <v>2260</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Typical price</t>
        </is>
      </c>
      <c r="AT182" s="99" t="n">
        <v>26.99</v>
      </c>
      <c r="AU182" s="99" t="n">
        <v>22.99</v>
      </c>
      <c r="AV182" s="98" t="inlineStr">
        <is>
          <t>none</t>
        </is>
      </c>
      <c r="AW182" s="98" t="inlineStr">
        <is>
          <t>Y</t>
        </is>
      </c>
      <c r="AX182" s="98" t="inlineStr">
        <is>
          <t>2026-10-13 12:13:32</t>
        </is>
      </c>
      <c r="AY182" s="100" t="inlineStr">
        <is>
          <t>None</t>
        </is>
      </c>
      <c r="AZ182" s="105" t="n"/>
      <c r="BA182" s="101" t="n">
        <v>23.21</v>
      </c>
      <c r="BB182" s="101" t="n">
        <v>26.99</v>
      </c>
      <c r="BC182" s="90">
        <f>IF(AND(ISNUMBER(BA182),ISNUMBER(BB182),N(BA182)&gt;0),1-BB182/BA182,"")</f>
        <v/>
      </c>
      <c r="BD182" s="102" t="n">
        <v>29868</v>
      </c>
      <c r="BE182" s="102" t="n">
        <v>28928</v>
      </c>
      <c r="BF182" s="103">
        <f>IF(AND(ISNUMBER(BD182),ISNUMBER(BE182),N(BE182)&gt;0),BD182/BE182,"")</f>
        <v/>
      </c>
      <c r="BG182" s="100" t="inlineStr">
        <is>
          <t>N</t>
        </is>
      </c>
      <c r="BH182" s="100" t="inlineStr">
        <is>
          <t>Buy Box RAISED in BFCM week (median $26.99 vs $23.21 before); List Price $34.99</t>
        </is>
      </c>
    </row>
    <row r="183" ht="62" customHeight="1">
      <c r="A183" s="10">
        <f>_xlfn.IMAGE("https://m.media-amazon.com/images/I/71HVTciZ9oL._AC_SL1500_.jpg")</f>
        <v/>
      </c>
      <c r="B183" s="86" t="inlineStr">
        <is>
          <t>Vonty</t>
        </is>
      </c>
      <c r="C183" s="32" t="inlineStr">
        <is>
          <t>Satin Sheets</t>
        </is>
      </c>
      <c r="D183" s="86" t="inlineStr">
        <is>
          <t>Poor</t>
        </is>
      </c>
      <c r="E183" s="87" t="inlineStr">
        <is>
          <t>B0BDDJM9RW</t>
        </is>
      </c>
      <c r="F183" s="87" t="inlineStr">
        <is>
          <t>B0BDDGJ38X</t>
        </is>
      </c>
      <c r="G183" s="86" t="inlineStr">
        <is>
          <t>King - Extra Deep Pocket</t>
        </is>
      </c>
      <c r="H183" s="86" t="inlineStr">
        <is>
          <t>Black</t>
        </is>
      </c>
      <c r="I183" s="88" t="n">
        <v>22</v>
      </c>
      <c r="J183" s="32" t="inlineStr">
        <is>
          <t>B0BDDGJ38X (81%)</t>
        </is>
      </c>
      <c r="K183" s="89" t="n">
        <v>30.99</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83620</v>
      </c>
      <c r="S183" s="88" t="n">
        <v>35</v>
      </c>
      <c r="T183" s="93">
        <f>IF(AND(ISNUMBER(K183),ISNUMBER(S183)),K183*S183*52/12,"")</f>
        <v/>
      </c>
      <c r="U183" s="94" t="n">
        <v>4.2</v>
      </c>
      <c r="V183" s="88" t="n">
        <v>909</v>
      </c>
      <c r="W183" s="95" t="n">
        <v>46307</v>
      </c>
      <c r="X183" s="95" t="n"/>
      <c r="Y183" s="86" t="n"/>
      <c r="Z183" s="86" t="n"/>
      <c r="AA183" s="88" t="n">
        <v>11441</v>
      </c>
      <c r="AB183" s="88" t="n">
        <v>382</v>
      </c>
      <c r="AC183" s="96" t="n">
        <v>0.9484301110042829</v>
      </c>
      <c r="AD183" s="96" t="n">
        <v>0.05156988899571716</v>
      </c>
      <c r="AE183" s="32" t="inlineStr">
        <is>
          <t>silk sheets</t>
        </is>
      </c>
      <c r="AF183" s="96" t="n">
        <v>0.06502928065728521</v>
      </c>
      <c r="AG183" s="96" t="n"/>
      <c r="AH183" s="96" t="n"/>
      <c r="AI183" s="96" t="n"/>
      <c r="AJ183" s="88" t="n">
        <v>203</v>
      </c>
      <c r="AK183" s="88" t="n">
        <v>141</v>
      </c>
      <c r="AL183" s="88" t="n">
        <v>42</v>
      </c>
      <c r="AM183" s="88" t="n">
        <v>179</v>
      </c>
      <c r="AN183" s="88" t="n">
        <v>15</v>
      </c>
      <c r="AO183" s="88" t="n">
        <v>1</v>
      </c>
      <c r="AP183" s="97" t="n">
        <v>0.9861111111111112</v>
      </c>
      <c r="AQ183" s="92" t="n">
        <v>0.4680851063829787</v>
      </c>
      <c r="AR183" s="98" t="inlineStr">
        <is>
          <t>N</t>
        </is>
      </c>
      <c r="AS183" s="98" t="inlineStr">
        <is>
          <t>none</t>
        </is>
      </c>
      <c r="AT183" s="104" t="n"/>
      <c r="AU183" s="99" t="n">
        <v>30.99</v>
      </c>
      <c r="AV183" s="98" t="inlineStr">
        <is>
          <t>none</t>
        </is>
      </c>
      <c r="AW183" s="98" t="inlineStr">
        <is>
          <t>Y</t>
        </is>
      </c>
      <c r="AX183" s="98" t="inlineStr">
        <is>
          <t>2026-10-13 23:44:43</t>
        </is>
      </c>
      <c r="AY183" s="100" t="inlineStr">
        <is>
          <t>Prime Exclusive Discount</t>
        </is>
      </c>
      <c r="AZ183" s="100" t="inlineStr">
        <is>
          <t>11-21 to 12-01</t>
        </is>
      </c>
      <c r="BA183" s="101" t="n">
        <v>30.99</v>
      </c>
      <c r="BB183" s="101" t="n">
        <v>25.79</v>
      </c>
      <c r="BC183" s="90">
        <f>IF(AND(ISNUMBER(BA183),ISNUMBER(BB183),N(BA183)&gt;0),1-BB183/BA183,"")</f>
        <v/>
      </c>
      <c r="BD183" s="102" t="n">
        <v>88328</v>
      </c>
      <c r="BE183" s="102" t="n">
        <v>82798</v>
      </c>
      <c r="BF183" s="103">
        <f>IF(AND(ISNUMBER(BD183),ISNUMBER(BE183),N(BE183)&gt;0),BD183/BE183,"")</f>
        <v/>
      </c>
      <c r="BG183" s="100" t="inlineStr">
        <is>
          <t>N</t>
        </is>
      </c>
      <c r="BH183" s="100" t="inlineStr">
        <is>
          <t>Buy Box RAISED in BFCM week (median $42.99 vs $30.99 before); List Price $49.99</t>
        </is>
      </c>
    </row>
    <row r="184" ht="62" customHeight="1">
      <c r="A184" s="10">
        <f>_xlfn.IMAGE("https://images-na.ssl-images-amazon.com/images/I/81M3kmoCTLL.jpg")</f>
        <v/>
      </c>
      <c r="B184" s="86" t="inlineStr">
        <is>
          <t>Juicy Couture</t>
        </is>
      </c>
      <c r="C184" s="32" t="inlineStr">
        <is>
          <t>Juicy Couture Queen Size Satin Bed Sheet Set, Deep Pocket Silky Satin Queen Shee</t>
        </is>
      </c>
      <c r="D184" s="86" t="inlineStr">
        <is>
          <t>Poor</t>
        </is>
      </c>
      <c r="E184" s="87" t="inlineStr">
        <is>
          <t>B0FB47M9WR</t>
        </is>
      </c>
      <c r="F184" s="87" t="inlineStr">
        <is>
          <t>B0BK1WH383</t>
        </is>
      </c>
      <c r="G184" s="86" t="inlineStr">
        <is>
          <t>Standard Pillowcases - 2 Piece Set</t>
        </is>
      </c>
      <c r="H184" s="86" t="inlineStr">
        <is>
          <t>Pink</t>
        </is>
      </c>
      <c r="I184" s="88" t="n">
        <v>58</v>
      </c>
      <c r="J184" s="32" t="inlineStr">
        <is>
          <t>B09NP86NP2 (22%), B0DKYVPBLR (21%), B0BK1WRYR5 (11%), B09NP9WVDR (11%), B0F3KT7FWM (8%)</t>
        </is>
      </c>
      <c r="K184" s="89" t="n">
        <v>5.93</v>
      </c>
      <c r="L184" s="89" t="n"/>
      <c r="M184" s="90">
        <f>IF(AND(ISNUMBER(L184),ISNUMBER(K184),N(K184)&gt;0),L184/K184-1,"")</f>
        <v/>
      </c>
      <c r="N184" s="91">
        <f>IF(M184="","No List Price",IF(M184&lt;=0,"At/below price",IF(M184&lt;=0.12,"&lt;=12% STR zone",IF(M184&lt;=0.25,"12-25%","&gt;25% over"))))</f>
        <v/>
      </c>
      <c r="O184" s="89" t="n">
        <v>32.90432150313153</v>
      </c>
      <c r="P184" s="92">
        <f>IF(AND(ISNUMBER(K184),ISNUMBER(O184),N(O184)&gt;0),K184/O184-1,"")</f>
        <v/>
      </c>
      <c r="Q184" s="32" t="inlineStr">
        <is>
          <t>vs our blended price (Command Center, Mar 2026 - STALE)</t>
        </is>
      </c>
      <c r="R184" s="88" t="n">
        <v>80060</v>
      </c>
      <c r="S184" s="88" t="n">
        <v>5</v>
      </c>
      <c r="T184" s="93">
        <f>IF(AND(ISNUMBER(K184),ISNUMBER(S184)),K184*S184*52/12,"")</f>
        <v/>
      </c>
      <c r="U184" s="94" t="n">
        <v>4.6</v>
      </c>
      <c r="V184" s="88" t="n">
        <v>46</v>
      </c>
      <c r="W184" s="95" t="n">
        <v>46307</v>
      </c>
      <c r="X184" s="95" t="n"/>
      <c r="Y184" s="86" t="n"/>
      <c r="Z184" s="86" t="n"/>
      <c r="AA184" s="88" t="n">
        <v>41904</v>
      </c>
      <c r="AB184" s="88" t="n">
        <v>827</v>
      </c>
      <c r="AC184" s="96" t="n">
        <v>0.8273237471363115</v>
      </c>
      <c r="AD184" s="96" t="n">
        <v>0.1726766346888126</v>
      </c>
      <c r="AE184" s="32" t="inlineStr">
        <is>
          <t>juicy couture</t>
        </is>
      </c>
      <c r="AF184" s="96" t="n">
        <v>0.1212533409698358</v>
      </c>
      <c r="AG184" s="96" t="n">
        <v>0.1026870943108057</v>
      </c>
      <c r="AH184" s="96" t="n">
        <v>0.5394234440626193</v>
      </c>
      <c r="AI184" s="96" t="n">
        <v>0.09507445589919816</v>
      </c>
      <c r="AJ184" s="88" t="n">
        <v>260</v>
      </c>
      <c r="AK184" s="88" t="n">
        <v>149</v>
      </c>
      <c r="AL184" s="88" t="n">
        <v>91</v>
      </c>
      <c r="AM184" s="88" t="n">
        <v>567</v>
      </c>
      <c r="AN184" s="88" t="n">
        <v>134</v>
      </c>
      <c r="AO184" s="88" t="n">
        <v>12</v>
      </c>
      <c r="AP184" s="97" t="n"/>
      <c r="AQ184" s="92" t="n"/>
      <c r="AR184" s="98" t="inlineStr">
        <is>
          <t>N</t>
        </is>
      </c>
      <c r="AS184" s="98" t="inlineStr">
        <is>
          <t>none</t>
        </is>
      </c>
      <c r="AT184" s="104" t="n"/>
      <c r="AU184" s="104" t="n"/>
      <c r="AV184" s="98" t="inlineStr">
        <is>
          <t>none</t>
        </is>
      </c>
      <c r="AW184" s="98" t="inlineStr">
        <is>
          <t>N</t>
        </is>
      </c>
      <c r="AX184" s="98" t="inlineStr">
        <is>
          <t>2026-10-13 12:12:23</t>
        </is>
      </c>
      <c r="AY184" s="105" t="n"/>
      <c r="AZ184" s="105" t="n"/>
      <c r="BA184" s="104" t="n"/>
      <c r="BB184" s="104" t="n"/>
      <c r="BC184" s="90">
        <f>IF(AND(ISNUMBER(BA184),ISNUMBER(BB184),N(BA184)&gt;0),1-BB184/BA184,"")</f>
        <v/>
      </c>
      <c r="BD184" s="102" t="n">
        <v>54981</v>
      </c>
      <c r="BE184" s="102" t="n">
        <v>50922</v>
      </c>
      <c r="BF184" s="103">
        <f>IF(AND(ISNUMBER(BD184),ISNUMBER(BE184),N(BE184)&gt;0),BD184/BE184,"")</f>
        <v/>
      </c>
      <c r="BG184" s="100" t="inlineStr">
        <is>
          <t>Y</t>
        </is>
      </c>
      <c r="BH184" s="100" t="inlineStr">
        <is>
          <t>No Buy Box history in Keepa for BFCM 2025; List Price $19.99</t>
        </is>
      </c>
    </row>
    <row r="185" ht="62" customHeight="1">
      <c r="A185" s="10">
        <f>_xlfn.IMAGE("https://images-na.ssl-images-amazon.com/images/I/71MADUOjsFL.jpg")</f>
        <v/>
      </c>
      <c r="B185" s="86" t="inlineStr">
        <is>
          <t>Sasttie</t>
        </is>
      </c>
      <c r="C185" s="32" t="inlineStr">
        <is>
          <t>Sasttie Satin Sheets Queen Size - 4 Pieces Luxury Soft Black Silky Bed Sheets Set with Pillowcases - Smooth Silk-Like Satin Fabric, Reinforced 14 Inches Pocket, Oeko-Tex Certified</t>
        </is>
      </c>
      <c r="D185" s="86" t="inlineStr">
        <is>
          <t>Untiered</t>
        </is>
      </c>
      <c r="E185" s="87" t="inlineStr">
        <is>
          <t>B0F2H9HX69</t>
        </is>
      </c>
      <c r="F185" s="87" t="inlineStr">
        <is>
          <t>B0F2H8LPB3</t>
        </is>
      </c>
      <c r="G185" s="86" t="inlineStr">
        <is>
          <t>Queen</t>
        </is>
      </c>
      <c r="H185" s="86" t="inlineStr">
        <is>
          <t>Black</t>
        </is>
      </c>
      <c r="I185" s="88" t="n">
        <v>47</v>
      </c>
      <c r="J185" s="32" t="inlineStr">
        <is>
          <t>B0F2H8LPB3 (57%), B0F2H92RZ5 (13%), B0F2H9HRJJ (11%)</t>
        </is>
      </c>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26 children</t>
        </is>
      </c>
      <c r="R185" s="88" t="n">
        <v>58723</v>
      </c>
      <c r="S185" s="88" t="n">
        <v>35</v>
      </c>
      <c r="T185" s="93">
        <f>IF(AND(ISNUMBER(K185),ISNUMBER(S185)),K185*S185*52/12,"")</f>
        <v/>
      </c>
      <c r="U185" s="94" t="n">
        <v>4.5</v>
      </c>
      <c r="V185" s="88" t="n">
        <v>968</v>
      </c>
      <c r="W185" s="95" t="n">
        <v>46307</v>
      </c>
      <c r="X185" s="95" t="n">
        <v>45742</v>
      </c>
      <c r="Y185" s="86" t="inlineStr">
        <is>
          <t>FBA</t>
        </is>
      </c>
      <c r="Z185" s="86" t="inlineStr">
        <is>
          <t>CN</t>
        </is>
      </c>
      <c r="AA185" s="88" t="n">
        <v>26952</v>
      </c>
      <c r="AB185" s="88" t="n">
        <v>504</v>
      </c>
      <c r="AC185" s="96" t="n">
        <v>0.9879767104482041</v>
      </c>
      <c r="AD185" s="96" t="n">
        <v>0.01202328955179578</v>
      </c>
      <c r="AE185" s="32" t="inlineStr">
        <is>
          <t>satin sheets</t>
        </is>
      </c>
      <c r="AF185" s="96" t="n"/>
      <c r="AG185" s="96" t="n">
        <v>0.004081329771445533</v>
      </c>
      <c r="AH185" s="96" t="n">
        <v>0.1173567824280202</v>
      </c>
      <c r="AI185" s="96" t="n"/>
      <c r="AJ185" s="88" t="n">
        <v>279</v>
      </c>
      <c r="AK185" s="88" t="n">
        <v>108</v>
      </c>
      <c r="AL185" s="88" t="n">
        <v>153</v>
      </c>
      <c r="AM185" s="88" t="n">
        <v>225</v>
      </c>
      <c r="AN185" s="88" t="n">
        <v>13</v>
      </c>
      <c r="AO185" s="88" t="n">
        <v>0</v>
      </c>
      <c r="AP185" s="97" t="n">
        <v>1.063356164383562</v>
      </c>
      <c r="AQ185" s="92" t="n">
        <v>-0.1631084543125534</v>
      </c>
      <c r="AR185" s="98" t="inlineStr">
        <is>
          <t>N</t>
        </is>
      </c>
      <c r="AS185" s="98" t="inlineStr">
        <is>
          <t>none</t>
        </is>
      </c>
      <c r="AT185" s="104" t="n"/>
      <c r="AU185" s="99" t="n">
        <v>15.99</v>
      </c>
      <c r="AV185" s="98" t="inlineStr">
        <is>
          <t>none</t>
        </is>
      </c>
      <c r="AW185" s="98" t="inlineStr">
        <is>
          <t>Y</t>
        </is>
      </c>
      <c r="AX185" s="98" t="inlineStr">
        <is>
          <t>2026-10-13 12:13:42</t>
        </is>
      </c>
      <c r="AY185" s="100" t="inlineStr">
        <is>
          <t>Prime Exclusive Discount</t>
        </is>
      </c>
      <c r="AZ185" s="100" t="inlineStr">
        <is>
          <t>11-08 to 12-05</t>
        </is>
      </c>
      <c r="BA185" s="101" t="n">
        <v>15.99</v>
      </c>
      <c r="BB185" s="101" t="n">
        <v>15.98</v>
      </c>
      <c r="BC185" s="90">
        <f>IF(AND(ISNUMBER(BA185),ISNUMBER(BB185),N(BA185)&gt;0),1-BB185/BA185,"")</f>
        <v/>
      </c>
      <c r="BD185" s="102" t="n">
        <v>71449</v>
      </c>
      <c r="BE185" s="102" t="n">
        <v>98796</v>
      </c>
      <c r="BF185" s="103">
        <f>IF(AND(ISNUMBER(BD185),ISNUMBER(BE185),N(BE185)&gt;0),BD185/BE185,"")</f>
        <v/>
      </c>
      <c r="BG185" s="100" t="inlineStr">
        <is>
          <t>N</t>
        </is>
      </c>
      <c r="BH185" s="100" t="inlineStr">
        <is>
          <t>Prime Exclusive already running before BFCM week; Buy Box RAISED in BFCM week (median $19.99 vs $16.99 before); List Price $19.98</t>
        </is>
      </c>
    </row>
    <row r="186" ht="62" customHeight="1">
      <c r="A186" s="10">
        <f>_xlfn.IMAGE("https://m.media-amazon.com/images/I/71PuS2XyTRL._AC_SL1500_.jpg")</f>
        <v/>
      </c>
      <c r="B186" s="86" t="inlineStr">
        <is>
          <t>Candoury</t>
        </is>
      </c>
      <c r="C186" s="32" t="inlineStr">
        <is>
          <t>Satin Sheets</t>
        </is>
      </c>
      <c r="D186" s="86" t="inlineStr">
        <is>
          <t>Untiered</t>
        </is>
      </c>
      <c r="E186" s="87" t="inlineStr">
        <is>
          <t>B08RHZ9TMQ</t>
        </is>
      </c>
      <c r="F186" s="87" t="inlineStr">
        <is>
          <t>B08JKWGXZ9</t>
        </is>
      </c>
      <c r="G186" s="86" t="inlineStr">
        <is>
          <t>Queen</t>
        </is>
      </c>
      <c r="H186" s="86" t="inlineStr">
        <is>
          <t>Black</t>
        </is>
      </c>
      <c r="I186" s="88" t="n"/>
      <c r="J186" s="32" t="inlineStr"/>
      <c r="K186" s="89" t="n">
        <v>15.99</v>
      </c>
      <c r="L186" s="89" t="n"/>
      <c r="M186" s="90">
        <f>IF(AND(ISNUMBER(L186),ISNUMBER(K186),N(K186)&gt;0),L186/K186-1,"")</f>
        <v/>
      </c>
      <c r="N186" s="91">
        <f>IF(M186="","No List Price",IF(M186&lt;=0,"At/below price",IF(M186&lt;=0.12,"&lt;=12% STR zone",IF(M186&lt;=0.25,"12-25%","&gt;25% over"))))</f>
        <v/>
      </c>
      <c r="O186" s="89" t="n">
        <v>31.95</v>
      </c>
      <c r="P186" s="92">
        <f>IF(AND(ISNUMBER(K186),ISNUMBER(O186),N(O186)&gt;0),K186/O186-1,"")</f>
        <v/>
      </c>
      <c r="Q186" s="32" t="inlineStr">
        <is>
          <t>Same size (Queen). Ours live: Helium 10 Xray, 2026-10-13; 26 children</t>
        </is>
      </c>
      <c r="R186" s="88" t="n">
        <v>420044</v>
      </c>
      <c r="S186" s="88" t="n">
        <v>5</v>
      </c>
      <c r="T186" s="93">
        <f>IF(AND(ISNUMBER(K186),ISNUMBER(S186)),K186*S186*52/12,"")</f>
        <v/>
      </c>
      <c r="U186" s="94" t="n">
        <v>4.3</v>
      </c>
      <c r="V186" s="88" t="n">
        <v>5277</v>
      </c>
      <c r="W186" s="95" t="n">
        <v>46279</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N</t>
        </is>
      </c>
      <c r="AS186" s="98" t="inlineStr">
        <is>
          <t>none</t>
        </is>
      </c>
      <c r="AT186" s="104" t="n"/>
      <c r="AU186" s="104" t="n"/>
      <c r="AV186" s="98" t="inlineStr">
        <is>
          <t>none</t>
        </is>
      </c>
      <c r="AW186" s="98" t="inlineStr">
        <is>
          <t>N</t>
        </is>
      </c>
      <c r="AX186" s="98" t="inlineStr">
        <is>
          <t>2026-10-13 23:44:25</t>
        </is>
      </c>
      <c r="AY186" s="105" t="n"/>
      <c r="AZ186" s="105" t="n"/>
      <c r="BA186" s="104" t="n"/>
      <c r="BB186" s="104" t="n"/>
      <c r="BC186" s="90">
        <f>IF(AND(ISNUMBER(BA186),ISNUMBER(BB186),N(BA186)&gt;0),1-BB186/BA186,"")</f>
        <v/>
      </c>
      <c r="BD186" s="102" t="n">
        <v>176647</v>
      </c>
      <c r="BE186" s="102" t="n">
        <v>231862</v>
      </c>
      <c r="BF186" s="103">
        <f>IF(AND(ISNUMBER(BD186),ISNUMBER(BE186),N(BE186)&gt;0),BD186/BE186,"")</f>
        <v/>
      </c>
      <c r="BG186" s="100" t="inlineStr">
        <is>
          <t>Y</t>
        </is>
      </c>
      <c r="BH186" s="100" t="inlineStr">
        <is>
          <t>No Buy Box history in Keepa for BFCM 2025; List Price $35.99</t>
        </is>
      </c>
    </row>
    <row r="188" ht="20" customHeight="1">
      <c r="A188" s="53" t="inlineStr">
        <is>
          <t>5 · WHAT THIS MEANS FOR BFCM</t>
        </is>
      </c>
    </row>
    <row r="189" ht="30" customHeight="1">
      <c r="A189" s="107" t="inlineStr">
        <is>
          <t>•  Who sells most: BEDELITE ~1,963/wk at $17.99; Love's cabin ~809/wk at $16.13 (List $19.99, +24%); MR&amp;HM ~809/wk at $19.99; CozyLux ~347/wk at $13.99 (List $18.99, +36%); Lanest Housing ~208/wk at $22.99. Tracked rivals ~4,991 units/wk; we sell ~122/wk (2.4% of the tracked set).</t>
        </is>
      </c>
    </row>
    <row r="190" ht="18" customHeight="1">
      <c r="A190" s="107" t="inlineStr">
        <is>
          <t>•  Strikethrough: 3 of 26 rivals set a List Price above price; 1 within 12%: Homiest +8%.</t>
        </is>
      </c>
    </row>
    <row r="191" ht="30" customHeight="1">
      <c r="A191" s="107" t="inlineStr">
        <is>
          <t>•  Price: 26 of 26 rivals sit below our price today (same size where the title states one). Cheapest strong rivals: CozyLux $13.99, Love's cabin $16.13, BEDELITE $17.99, MK Home $18.99.</t>
        </is>
      </c>
    </row>
    <row r="192" ht="30" customHeight="1">
      <c r="A192"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3" ht="30" customHeight="1">
      <c r="A193"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4" ht="30" customHeight="1">
      <c r="A194" s="107" t="inlineStr">
        <is>
          <t>•  Brand ads: Love's cabin (SB 61%, SBV 8%), CozyLux (SB 52%, SBV 0%), Lanest Housing (SB 92%, SBV 0%), P Pothuiny (SB 54%, SBV 0%), Juicy Couture (SB 10%, SBV 54%) hold Sponsored Brands / video on most of their traffic - the plan has our SB, SBV and display live by Nov 1.</t>
        </is>
      </c>
    </row>
    <row r="195" ht="18" customHeight="1">
      <c r="A195" s="107" t="inlineStr">
        <is>
          <t>•  Our BFCM 2025: 3.08x daily sales in BFCM week vs the 30 days before; TACoS 14.8% vs 19.9% before; December 2.54x.</t>
        </is>
      </c>
    </row>
    <row r="196" ht="18" customHeight="1">
      <c r="A196" s="107" t="inlineStr">
        <is>
          <t>•  Prime Day 2026: our organic visibility 1.22x vs rivals' median 0.99x (n=17) - we held or out-gained rivals.</t>
        </is>
      </c>
    </row>
    <row r="197" ht="30" customHeight="1">
      <c r="A197" s="107" t="inlineStr">
        <is>
          <t>•  BFCM 2025, 24 rivals with Keepa history: Prime Exclusive Discount 14, None 7, Price cut only 3.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60:BH186"/>
  <mergeCells count="76">
    <mergeCell ref="A15:BH15"/>
    <mergeCell ref="A148:BH148"/>
    <mergeCell ref="A157:BH157"/>
    <mergeCell ref="AA159:AQ159"/>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I13:L13"/>
    <mergeCell ref="A196:BH196"/>
    <mergeCell ref="A16:BH16"/>
    <mergeCell ref="A198:BH198"/>
    <mergeCell ref="D4:I4"/>
    <mergeCell ref="L10:Q10"/>
    <mergeCell ref="E12:H12"/>
    <mergeCell ref="Q13:T13"/>
    <mergeCell ref="A141:C141"/>
    <mergeCell ref="AR159:AX159"/>
    <mergeCell ref="D9:I9"/>
    <mergeCell ref="A193:BH193"/>
    <mergeCell ref="U12:X12"/>
    <mergeCell ref="L9:Q9"/>
    <mergeCell ref="Q12:T12"/>
    <mergeCell ref="A140:C140"/>
    <mergeCell ref="A11:D11"/>
    <mergeCell ref="A144:C144"/>
    <mergeCell ref="A149:BH149"/>
    <mergeCell ref="A158:BH158"/>
    <mergeCell ref="I11:L11"/>
    <mergeCell ref="A189:BH189"/>
    <mergeCell ref="A3:BH3"/>
    <mergeCell ref="L6:Q6"/>
    <mergeCell ref="D8:I8"/>
    <mergeCell ref="A4:B9"/>
    <mergeCell ref="A147:C147"/>
    <mergeCell ref="T6:Y6"/>
    <mergeCell ref="A154:BH154"/>
    <mergeCell ref="A192:BH192"/>
    <mergeCell ref="A195:BH195"/>
    <mergeCell ref="D5:I5"/>
    <mergeCell ref="A151:BH151"/>
    <mergeCell ref="AY159:BH159"/>
    <mergeCell ref="M11:P11"/>
    <mergeCell ref="A150:BH150"/>
    <mergeCell ref="A188:BH188"/>
    <mergeCell ref="A194:BH194"/>
    <mergeCell ref="U11:X11"/>
    <mergeCell ref="A159:H159"/>
    <mergeCell ref="E13:H13"/>
    <mergeCell ref="D10:I10"/>
    <mergeCell ref="L7:Q7"/>
    <mergeCell ref="T5:Y5"/>
    <mergeCell ref="A142:C142"/>
    <mergeCell ref="A152:BH152"/>
    <mergeCell ref="K159:W159"/>
    <mergeCell ref="A190:BH190"/>
    <mergeCell ref="A12:D12"/>
    <mergeCell ref="M13:P13"/>
    <mergeCell ref="I12:L12"/>
    <mergeCell ref="U13:X13"/>
    <mergeCell ref="A155:BH155"/>
    <mergeCell ref="A146:C146"/>
    <mergeCell ref="M12:P12"/>
    <mergeCell ref="X159:Z159"/>
    <mergeCell ref="T4:Y4"/>
    <mergeCell ref="D6:I6"/>
    <mergeCell ref="E11:H11"/>
  </mergeCells>
  <conditionalFormatting sqref="N161:N186">
    <cfRule type="expression" priority="1" dxfId="1">
      <formula>N161="&lt;=12% STR zone"</formula>
    </cfRule>
  </conditionalFormatting>
  <conditionalFormatting sqref="W161:W186">
    <cfRule type="expression" priority="2" dxfId="0">
      <formula>AND(ISNUMBER(W161),W161&lt;DATE(2026,10,6))</formula>
    </cfRule>
  </conditionalFormatting>
  <conditionalFormatting sqref="Q161:Q186">
    <cfRule type="expression" priority="3" dxfId="0">
      <formula>ISNUMBER(SEARCH("STALE",Q161))</formula>
    </cfRule>
  </conditionalFormatting>
  <conditionalFormatting sqref="P161:P186">
    <cfRule type="expression" priority="4" dxfId="0">
      <formula>AND(ISNUMBER(P161),P161&lt;0)</formula>
    </cfRule>
  </conditionalFormatting>
  <dataValidations count="3">
    <dataValidation sqref="AR161:AR186 BG161:BG186" showDropDown="0" showInputMessage="0" showErrorMessage="0" allowBlank="1" type="list">
      <formula1>"Y,N"</formula1>
    </dataValidation>
    <dataValidation sqref="AS161:AS186" showDropDown="0" showInputMessage="0" showErrorMessage="0" allowBlank="1" type="list">
      <formula1>"List Price,Typical price,Was price,None"</formula1>
    </dataValidation>
    <dataValidation sqref="AY161: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1" r:id="rId2"/>
    <hyperlink xmlns:r="http://schemas.openxmlformats.org/officeDocument/2006/relationships" ref="F161" r:id="rId3"/>
    <hyperlink xmlns:r="http://schemas.openxmlformats.org/officeDocument/2006/relationships" ref="E162" r:id="rId4"/>
    <hyperlink xmlns:r="http://schemas.openxmlformats.org/officeDocument/2006/relationships" ref="F162" r:id="rId5"/>
    <hyperlink xmlns:r="http://schemas.openxmlformats.org/officeDocument/2006/relationships" ref="E163" r:id="rId6"/>
    <hyperlink xmlns:r="http://schemas.openxmlformats.org/officeDocument/2006/relationships" ref="F163" r:id="rId7"/>
    <hyperlink xmlns:r="http://schemas.openxmlformats.org/officeDocument/2006/relationships" ref="E164" r:id="rId8"/>
    <hyperlink xmlns:r="http://schemas.openxmlformats.org/officeDocument/2006/relationships" ref="F164" r:id="rId9"/>
    <hyperlink xmlns:r="http://schemas.openxmlformats.org/officeDocument/2006/relationships" ref="E165" r:id="rId10"/>
    <hyperlink xmlns:r="http://schemas.openxmlformats.org/officeDocument/2006/relationships" ref="F165" r:id="rId11"/>
    <hyperlink xmlns:r="http://schemas.openxmlformats.org/officeDocument/2006/relationships" ref="E166" r:id="rId12"/>
    <hyperlink xmlns:r="http://schemas.openxmlformats.org/officeDocument/2006/relationships" ref="F166" r:id="rId13"/>
    <hyperlink xmlns:r="http://schemas.openxmlformats.org/officeDocument/2006/relationships" ref="E167" r:id="rId14"/>
    <hyperlink xmlns:r="http://schemas.openxmlformats.org/officeDocument/2006/relationships" ref="F167" r:id="rId15"/>
    <hyperlink xmlns:r="http://schemas.openxmlformats.org/officeDocument/2006/relationships" ref="E168" r:id="rId16"/>
    <hyperlink xmlns:r="http://schemas.openxmlformats.org/officeDocument/2006/relationships" ref="F168" r:id="rId17"/>
    <hyperlink xmlns:r="http://schemas.openxmlformats.org/officeDocument/2006/relationships" ref="E169" r:id="rId18"/>
    <hyperlink xmlns:r="http://schemas.openxmlformats.org/officeDocument/2006/relationships" ref="F169" r:id="rId19"/>
    <hyperlink xmlns:r="http://schemas.openxmlformats.org/officeDocument/2006/relationships" ref="E170" r:id="rId20"/>
    <hyperlink xmlns:r="http://schemas.openxmlformats.org/officeDocument/2006/relationships" ref="F170" r:id="rId21"/>
    <hyperlink xmlns:r="http://schemas.openxmlformats.org/officeDocument/2006/relationships" ref="E171" r:id="rId22"/>
    <hyperlink xmlns:r="http://schemas.openxmlformats.org/officeDocument/2006/relationships" ref="F171" r:id="rId23"/>
    <hyperlink xmlns:r="http://schemas.openxmlformats.org/officeDocument/2006/relationships" ref="E172" r:id="rId24"/>
    <hyperlink xmlns:r="http://schemas.openxmlformats.org/officeDocument/2006/relationships" ref="F172" r:id="rId25"/>
    <hyperlink xmlns:r="http://schemas.openxmlformats.org/officeDocument/2006/relationships" ref="E173" r:id="rId26"/>
    <hyperlink xmlns:r="http://schemas.openxmlformats.org/officeDocument/2006/relationships" ref="F173" r:id="rId27"/>
    <hyperlink xmlns:r="http://schemas.openxmlformats.org/officeDocument/2006/relationships" ref="E174" r:id="rId28"/>
    <hyperlink xmlns:r="http://schemas.openxmlformats.org/officeDocument/2006/relationships" ref="F174" r:id="rId29"/>
    <hyperlink xmlns:r="http://schemas.openxmlformats.org/officeDocument/2006/relationships" ref="E175" r:id="rId30"/>
    <hyperlink xmlns:r="http://schemas.openxmlformats.org/officeDocument/2006/relationships" ref="F175" r:id="rId31"/>
    <hyperlink xmlns:r="http://schemas.openxmlformats.org/officeDocument/2006/relationships" ref="E176" r:id="rId32"/>
    <hyperlink xmlns:r="http://schemas.openxmlformats.org/officeDocument/2006/relationships" ref="F176" r:id="rId33"/>
    <hyperlink xmlns:r="http://schemas.openxmlformats.org/officeDocument/2006/relationships" ref="E177" r:id="rId34"/>
    <hyperlink xmlns:r="http://schemas.openxmlformats.org/officeDocument/2006/relationships" ref="F177" r:id="rId35"/>
    <hyperlink xmlns:r="http://schemas.openxmlformats.org/officeDocument/2006/relationships" ref="E178" r:id="rId36"/>
    <hyperlink xmlns:r="http://schemas.openxmlformats.org/officeDocument/2006/relationships" ref="F178" r:id="rId37"/>
    <hyperlink xmlns:r="http://schemas.openxmlformats.org/officeDocument/2006/relationships" ref="E179" r:id="rId38"/>
    <hyperlink xmlns:r="http://schemas.openxmlformats.org/officeDocument/2006/relationships" ref="F179" r:id="rId39"/>
    <hyperlink xmlns:r="http://schemas.openxmlformats.org/officeDocument/2006/relationships" ref="E180" r:id="rId40"/>
    <hyperlink xmlns:r="http://schemas.openxmlformats.org/officeDocument/2006/relationships" ref="F180" r:id="rId41"/>
    <hyperlink xmlns:r="http://schemas.openxmlformats.org/officeDocument/2006/relationships" ref="E181" r:id="rId42"/>
    <hyperlink xmlns:r="http://schemas.openxmlformats.org/officeDocument/2006/relationships" ref="F181" r:id="rId43"/>
    <hyperlink xmlns:r="http://schemas.openxmlformats.org/officeDocument/2006/relationships" ref="E182" r:id="rId44"/>
    <hyperlink xmlns:r="http://schemas.openxmlformats.org/officeDocument/2006/relationships" ref="F182" r:id="rId45"/>
    <hyperlink xmlns:r="http://schemas.openxmlformats.org/officeDocument/2006/relationships" ref="E183" r:id="rId46"/>
    <hyperlink xmlns:r="http://schemas.openxmlformats.org/officeDocument/2006/relationships" ref="F183" r:id="rId47"/>
    <hyperlink xmlns:r="http://schemas.openxmlformats.org/officeDocument/2006/relationships" ref="E184" r:id="rId48"/>
    <hyperlink xmlns:r="http://schemas.openxmlformats.org/officeDocument/2006/relationships" ref="F184" r:id="rId49"/>
    <hyperlink xmlns:r="http://schemas.openxmlformats.org/officeDocument/2006/relationships" ref="E185" r:id="rId50"/>
    <hyperlink xmlns:r="http://schemas.openxmlformats.org/officeDocument/2006/relationships" ref="F185" r:id="rId51"/>
    <hyperlink xmlns:r="http://schemas.openxmlformats.org/officeDocument/2006/relationships" ref="E186" r:id="rId52"/>
    <hyperlink xmlns:r="http://schemas.openxmlformats.org/officeDocument/2006/relationships" ref="F186"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Satin Sheets 6 Piece  ·  Amazon.ca (CA)  ·  Satin  ·  BFCM role: Clearance with margin  ·  Scope: Core</t>
        </is>
      </c>
    </row>
    <row r="2">
      <c r="A2" s="52" t="inlineStr">
        <is>
          <t>← Dashboard</t>
        </is>
      </c>
    </row>
    <row r="3" ht="20" customHeight="1">
      <c r="A3" s="53"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4" t="inlineStr">
        <is>
          <t>Full, King, Queen, Twin</t>
        </is>
      </c>
      <c r="S4" s="11" t="inlineStr">
        <is>
          <t>Break-even ACoS</t>
        </is>
      </c>
      <c r="T4" s="54" t="inlineStr">
        <is>
          <t>39%</t>
        </is>
      </c>
    </row>
    <row r="5" ht="22" customHeight="1">
      <c r="C5" s="11" t="inlineStr">
        <is>
          <t>Brand</t>
        </is>
      </c>
      <c r="D5" s="54" t="inlineStr">
        <is>
          <t>Decolure</t>
        </is>
      </c>
      <c r="K5" s="11" t="inlineStr">
        <is>
          <t>Colours</t>
        </is>
      </c>
      <c r="L5" s="54"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4" t="inlineStr">
        <is>
          <t>326</t>
        </is>
      </c>
    </row>
    <row r="6" ht="22" customHeight="1">
      <c r="C6" s="11" t="inlineStr">
        <is>
          <t>Marketplace</t>
        </is>
      </c>
      <c r="D6" s="54" t="inlineStr">
        <is>
          <t>Amazon.ca (CA)</t>
        </is>
      </c>
      <c r="K6" s="11" t="inlineStr">
        <is>
          <t>Price now, best child</t>
        </is>
      </c>
      <c r="L6" s="54" t="inlineStr">
        <is>
          <t>$47.99 (Helium 10 Xray (Amazon.ca, CAD), 2026-10-14)</t>
        </is>
      </c>
      <c r="S6" s="11" t="inlineStr">
        <is>
          <t>Command Center product ASIN</t>
        </is>
      </c>
      <c r="T6" s="54" t="inlineStr">
        <is>
          <t>B0D9QQWYP4 (one of our child ASINs, not the Amazon parent)</t>
        </is>
      </c>
    </row>
    <row r="7" ht="22" customHeight="1">
      <c r="C7" s="11" t="inlineStr">
        <is>
          <t>Parent ASIN (Amazon)</t>
        </is>
      </c>
      <c r="D7" s="54" t="inlineStr">
        <is>
          <t>B0CJSDXDJW</t>
        </is>
      </c>
      <c r="K7" s="11" t="inlineStr">
        <is>
          <t>Rating / reviews now</t>
        </is>
      </c>
      <c r="L7" s="54" t="inlineStr">
        <is>
          <t>4.3 / 1,723 (Helium 10 Xray (Amazon.ca, CAD), 2026-10-14)</t>
        </is>
      </c>
    </row>
    <row r="8" ht="22" customHeight="1">
      <c r="C8" s="11" t="inlineStr">
        <is>
          <t>Best-selling child ASIN</t>
        </is>
      </c>
      <c r="D8" s="54" t="inlineStr">
        <is>
          <t>B0C7FX1GFS</t>
        </is>
      </c>
      <c r="K8" s="11" t="inlineStr">
        <is>
          <t>Live prices held</t>
        </is>
      </c>
      <c r="L8" s="54" t="inlineStr">
        <is>
          <t>105 of 118 variations</t>
        </is>
      </c>
    </row>
    <row r="9" ht="22" customHeight="1">
      <c r="C9" s="11" t="inlineStr">
        <is>
          <t>Stage</t>
        </is>
      </c>
      <c r="D9" s="54" t="inlineStr">
        <is>
          <t>Maintenance</t>
        </is>
      </c>
      <c r="K9" s="11" t="inlineStr">
        <is>
          <t>Blended price (Command Center)</t>
        </is>
      </c>
      <c r="L9" s="54" t="inlineStr">
        <is>
          <t>$49.17 - fee feed as of 2026-03-30, STALE</t>
        </is>
      </c>
    </row>
    <row r="10">
      <c r="C10" s="11" t="inlineStr">
        <is>
          <t>Total variations (SKUs)</t>
        </is>
      </c>
      <c r="D10" s="54" t="n">
        <v>111</v>
      </c>
      <c r="K10" s="11" t="inlineStr">
        <is>
          <t>Contribution / unit</t>
        </is>
      </c>
      <c r="L10" s="54" t="inlineStr">
        <is>
          <t>$19.06</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STRIKETHROUGH SHOWN</t>
        </is>
      </c>
    </row>
    <row r="12" ht="24" customHeight="1">
      <c r="A12" s="56" t="inlineStr">
        <is>
          <t>2.98x</t>
        </is>
      </c>
      <c r="E12" s="56" t="inlineStr">
        <is>
          <t>13.5%</t>
        </is>
      </c>
      <c r="I12" s="56" t="inlineStr">
        <is>
          <t>2.01x</t>
        </is>
      </c>
      <c r="M12" s="56" t="inlineStr">
        <is>
          <t>15</t>
        </is>
      </c>
      <c r="Q12" s="56" t="inlineStr">
        <is>
          <t>2</t>
        </is>
      </c>
      <c r="U12" s="56" t="inlineStr">
        <is>
          <t>3 of 15</t>
        </is>
      </c>
    </row>
    <row r="13">
      <c r="A13" s="57" t="inlineStr">
        <is>
          <t>daily sales, BFCM wk vs 30 days before (SellerBoard actual)</t>
        </is>
      </c>
      <c r="E13" s="57" t="inlineStr">
        <is>
          <t>vs 16.8% before</t>
        </is>
      </c>
      <c r="I13" s="57" t="inlineStr">
        <is>
          <t>December daily sales vs Oct 21-Nov 19</t>
        </is>
      </c>
      <c r="M13" s="57" t="inlineStr">
        <is>
          <t>Amazon.ca page research</t>
        </is>
      </c>
      <c r="Q13" s="57" t="inlineStr">
        <is>
          <t>same size, else vs our Queen</t>
        </is>
      </c>
      <c r="U13" s="57" t="inlineStr">
        <is>
          <t>on the Amazon.ca page, Oct 13</t>
        </is>
      </c>
    </row>
    <row r="15" ht="20" customHeight="1">
      <c r="A15" s="53" t="inlineStr">
        <is>
          <t>2 · OUR VARIATIONS (118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59" t="n">
        <v>47.99</v>
      </c>
      <c r="H18" s="32" t="inlineStr">
        <is>
          <t>Helium 10 Xray (Amazon.ca, CAD), 2026-10-14</t>
        </is>
      </c>
      <c r="I18" s="60" t="n">
        <v>58.37</v>
      </c>
      <c r="J18" s="61" t="inlineStr">
        <is>
          <t>2026-03-30</t>
        </is>
      </c>
      <c r="K18" s="33" t="n">
        <v>22.49</v>
      </c>
      <c r="L18" s="62" t="n">
        <v>0.3853006681514477</v>
      </c>
      <c r="M18" s="63" t="n">
        <v>27</v>
      </c>
      <c r="N18" s="32" t="inlineStr">
        <is>
          <t>Active</t>
        </is>
      </c>
      <c r="O18" s="32" t="n"/>
      <c r="P18" s="64" t="n">
        <v>4.3</v>
      </c>
      <c r="Q18" s="63" t="n">
        <v>1723</v>
      </c>
      <c r="R18" s="63" t="n">
        <v>4400</v>
      </c>
      <c r="S18" s="63"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59" t="n">
        <v>49.99</v>
      </c>
      <c r="H19" s="32" t="inlineStr">
        <is>
          <t>Helium 10 Xray (Amazon.ca, CAD), 2026-10-14</t>
        </is>
      </c>
      <c r="I19" s="60" t="n">
        <v>49.99</v>
      </c>
      <c r="J19" s="61" t="inlineStr">
        <is>
          <t>2026-03-30</t>
        </is>
      </c>
      <c r="K19" s="33" t="n">
        <v>18.72000000000001</v>
      </c>
      <c r="L19" s="62" t="n">
        <v>0.3744748949789959</v>
      </c>
      <c r="M19" s="63" t="n">
        <v>17</v>
      </c>
      <c r="N19" s="32" t="inlineStr">
        <is>
          <t>Active</t>
        </is>
      </c>
      <c r="O19" s="32" t="n"/>
      <c r="P19" s="64" t="n">
        <v>4.3</v>
      </c>
      <c r="Q19" s="63" t="n">
        <v>1723</v>
      </c>
      <c r="R19" s="63" t="n">
        <v>4406</v>
      </c>
      <c r="S19" s="63"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59" t="n">
        <v>49.99</v>
      </c>
      <c r="H20" s="32" t="inlineStr">
        <is>
          <t>Helium 10 Xray (Amazon.ca, CAD), 2026-10-14</t>
        </is>
      </c>
      <c r="I20" s="60" t="n">
        <v>49.99</v>
      </c>
      <c r="J20" s="61" t="inlineStr">
        <is>
          <t>2026-03-30</t>
        </is>
      </c>
      <c r="K20" s="33" t="n">
        <v>19.32</v>
      </c>
      <c r="L20" s="62" t="n">
        <v>0.3864772954590918</v>
      </c>
      <c r="M20" s="63" t="n">
        <v>13</v>
      </c>
      <c r="N20" s="32" t="inlineStr">
        <is>
          <t>Active</t>
        </is>
      </c>
      <c r="O20" s="32" t="n"/>
      <c r="P20" s="64" t="n">
        <v>4.3</v>
      </c>
      <c r="Q20" s="63" t="n">
        <v>1723</v>
      </c>
      <c r="R20" s="63" t="n">
        <v>4406</v>
      </c>
      <c r="S20" s="63"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59" t="n">
        <v>47.99</v>
      </c>
      <c r="H21" s="32" t="inlineStr">
        <is>
          <t>Helium 10 Xray (Amazon.ca, CAD), 2026-10-14</t>
        </is>
      </c>
      <c r="I21" s="60" t="n">
        <v>47.99</v>
      </c>
      <c r="J21" s="61" t="inlineStr">
        <is>
          <t>2026-03-30</t>
        </is>
      </c>
      <c r="K21" s="33" t="n">
        <v>19.36</v>
      </c>
      <c r="L21" s="62" t="n">
        <v>0.4034173786205459</v>
      </c>
      <c r="M21" s="63" t="n">
        <v>13</v>
      </c>
      <c r="N21" s="32" t="inlineStr">
        <is>
          <t>Active</t>
        </is>
      </c>
      <c r="O21" s="32" t="n"/>
      <c r="P21" s="64" t="n">
        <v>4.3</v>
      </c>
      <c r="Q21" s="63" t="n">
        <v>1723</v>
      </c>
      <c r="R21" s="63" t="n">
        <v>4406</v>
      </c>
      <c r="S21" s="63"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59" t="n">
        <v>39.99</v>
      </c>
      <c r="H22" s="32" t="inlineStr">
        <is>
          <t>Helium 10 Xray (Amazon.ca, CAD), 2026-10-14</t>
        </is>
      </c>
      <c r="I22" s="60" t="n">
        <v>39.99</v>
      </c>
      <c r="J22" s="61" t="inlineStr">
        <is>
          <t>2026-03-30</t>
        </is>
      </c>
      <c r="K22" s="33" t="n">
        <v>15.93</v>
      </c>
      <c r="L22" s="62" t="n">
        <v>0.3983495873968493</v>
      </c>
      <c r="M22" s="63" t="n">
        <v>13</v>
      </c>
      <c r="N22" s="32" t="inlineStr">
        <is>
          <t>Active</t>
        </is>
      </c>
      <c r="O22" s="32" t="n"/>
      <c r="P22" s="64" t="n">
        <v>4.3</v>
      </c>
      <c r="Q22" s="63" t="n">
        <v>1723</v>
      </c>
      <c r="R22" s="63" t="n">
        <v>4406</v>
      </c>
      <c r="S22" s="63"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59" t="n">
        <v>44.99</v>
      </c>
      <c r="H23" s="32" t="inlineStr">
        <is>
          <t>Helium 10 Xray (Amazon.ca, CAD), 2026-10-14</t>
        </is>
      </c>
      <c r="I23" s="60" t="n">
        <v>56.02</v>
      </c>
      <c r="J23" s="61" t="inlineStr">
        <is>
          <t>2026-03-30</t>
        </is>
      </c>
      <c r="K23" s="33" t="n">
        <v>20.65000000000001</v>
      </c>
      <c r="L23" s="62" t="n">
        <v>0.3686183505890754</v>
      </c>
      <c r="M23" s="63" t="n">
        <v>12</v>
      </c>
      <c r="N23" s="32" t="inlineStr">
        <is>
          <t>Active</t>
        </is>
      </c>
      <c r="O23" s="32" t="n"/>
      <c r="P23" s="64" t="n">
        <v>4.3</v>
      </c>
      <c r="Q23" s="63" t="n">
        <v>1723</v>
      </c>
      <c r="R23" s="63" t="n">
        <v>4406</v>
      </c>
      <c r="S23" s="63"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59" t="n">
        <v>47.99</v>
      </c>
      <c r="H24" s="32" t="inlineStr">
        <is>
          <t>Helium 10 Xray (Amazon.ca, CAD), 2026-10-14</t>
        </is>
      </c>
      <c r="I24" s="60" t="n">
        <v>47.99</v>
      </c>
      <c r="J24" s="61" t="inlineStr">
        <is>
          <t>2026-03-30</t>
        </is>
      </c>
      <c r="K24" s="33" t="n">
        <v>18.15</v>
      </c>
      <c r="L24" s="62" t="n">
        <v>0.3782037924567618</v>
      </c>
      <c r="M24" s="63" t="n">
        <v>11</v>
      </c>
      <c r="N24" s="32" t="inlineStr">
        <is>
          <t>Active</t>
        </is>
      </c>
      <c r="O24" s="32" t="n"/>
      <c r="P24" s="64" t="n">
        <v>4.3</v>
      </c>
      <c r="Q24" s="63" t="n">
        <v>1723</v>
      </c>
      <c r="R24" s="63" t="n">
        <v>4406</v>
      </c>
      <c r="S24" s="63"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59" t="n">
        <v>49.99</v>
      </c>
      <c r="H25" s="32" t="inlineStr">
        <is>
          <t>Helium 10 Xray (Amazon.ca, CAD), 2026-10-14</t>
        </is>
      </c>
      <c r="I25" s="60" t="n">
        <v>49.99</v>
      </c>
      <c r="J25" s="61" t="inlineStr">
        <is>
          <t>2026-03-30</t>
        </is>
      </c>
      <c r="K25" s="33" t="n">
        <v>18.05</v>
      </c>
      <c r="L25" s="62" t="n">
        <v>0.3610722144428887</v>
      </c>
      <c r="M25" s="63" t="n">
        <v>9</v>
      </c>
      <c r="N25" s="32" t="inlineStr">
        <is>
          <t>Active</t>
        </is>
      </c>
      <c r="O25" s="32" t="n"/>
      <c r="P25" s="64" t="n">
        <v>4.3</v>
      </c>
      <c r="Q25" s="63" t="n">
        <v>1723</v>
      </c>
      <c r="R25" s="63" t="n">
        <v>4406</v>
      </c>
      <c r="S25" s="63"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59" t="n">
        <v>49.99</v>
      </c>
      <c r="H26" s="32" t="inlineStr">
        <is>
          <t>Helium 10 Xray (Amazon.ca, CAD), 2026-10-14</t>
        </is>
      </c>
      <c r="I26" s="60" t="n">
        <v>49.99</v>
      </c>
      <c r="J26" s="61" t="inlineStr">
        <is>
          <t>2026-03-30</t>
        </is>
      </c>
      <c r="K26" s="33" t="n">
        <v>19.16</v>
      </c>
      <c r="L26" s="62" t="n">
        <v>0.3832766553310663</v>
      </c>
      <c r="M26" s="63" t="n">
        <v>9</v>
      </c>
      <c r="N26" s="32" t="inlineStr">
        <is>
          <t>Active</t>
        </is>
      </c>
      <c r="O26" s="32" t="n"/>
      <c r="P26" s="64" t="n">
        <v>4.3</v>
      </c>
      <c r="Q26" s="63" t="n">
        <v>1723</v>
      </c>
      <c r="R26" s="63" t="n">
        <v>4406</v>
      </c>
      <c r="S26" s="63"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59" t="n">
        <v>47.99</v>
      </c>
      <c r="H27" s="32" t="inlineStr">
        <is>
          <t>Helium 10 Xray (Amazon.ca, CAD), 2026-10-14</t>
        </is>
      </c>
      <c r="I27" s="60" t="n">
        <v>47.99</v>
      </c>
      <c r="J27" s="61" t="inlineStr">
        <is>
          <t>2026-03-30</t>
        </is>
      </c>
      <c r="K27" s="33" t="n">
        <v>19.45</v>
      </c>
      <c r="L27" s="62" t="n">
        <v>0.4052927693269431</v>
      </c>
      <c r="M27" s="63" t="n">
        <v>8</v>
      </c>
      <c r="N27" s="32" t="inlineStr">
        <is>
          <t>Active</t>
        </is>
      </c>
      <c r="O27" s="32" t="n"/>
      <c r="P27" s="64" t="n">
        <v>4.3</v>
      </c>
      <c r="Q27" s="63" t="n">
        <v>1723</v>
      </c>
      <c r="R27" s="63" t="n">
        <v>4406</v>
      </c>
      <c r="S27" s="63"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59" t="n">
        <v>44.99</v>
      </c>
      <c r="H28" s="32" t="inlineStr">
        <is>
          <t>Helium 10 Xray (Amazon.ca, CAD), 2026-10-14</t>
        </is>
      </c>
      <c r="I28" s="60" t="n">
        <v>44.99</v>
      </c>
      <c r="J28" s="61" t="inlineStr">
        <is>
          <t>2026-03-30</t>
        </is>
      </c>
      <c r="K28" s="33" t="n">
        <v>16.88</v>
      </c>
      <c r="L28" s="62" t="n">
        <v>0.3751944876639254</v>
      </c>
      <c r="M28" s="63" t="n">
        <v>7</v>
      </c>
      <c r="N28" s="32" t="inlineStr">
        <is>
          <t>Active</t>
        </is>
      </c>
      <c r="O28" s="32" t="n"/>
      <c r="P28" s="64" t="n">
        <v>4.3</v>
      </c>
      <c r="Q28" s="63" t="n">
        <v>1723</v>
      </c>
      <c r="R28" s="63" t="n">
        <v>4406</v>
      </c>
      <c r="S28" s="63"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59" t="n">
        <v>47.99</v>
      </c>
      <c r="H29" s="32" t="inlineStr">
        <is>
          <t>Helium 10 Xray (Amazon.ca, CAD), 2026-10-14</t>
        </is>
      </c>
      <c r="I29" s="60" t="n">
        <v>47.99</v>
      </c>
      <c r="J29" s="61" t="inlineStr">
        <is>
          <t>2026-03-30</t>
        </is>
      </c>
      <c r="K29" s="33" t="n">
        <v>19.12</v>
      </c>
      <c r="L29" s="62" t="n">
        <v>0.3984163367368202</v>
      </c>
      <c r="M29" s="63" t="n">
        <v>7</v>
      </c>
      <c r="N29" s="32" t="inlineStr">
        <is>
          <t>Active</t>
        </is>
      </c>
      <c r="O29" s="32" t="n"/>
      <c r="P29" s="64" t="n">
        <v>4.3</v>
      </c>
      <c r="Q29" s="63" t="n">
        <v>1723</v>
      </c>
      <c r="R29" s="63" t="n">
        <v>4406</v>
      </c>
      <c r="S29" s="63"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59" t="n">
        <v>47.99</v>
      </c>
      <c r="H30" s="32" t="inlineStr">
        <is>
          <t>Helium 10 Xray (Amazon.ca, CAD), 2026-10-14</t>
        </is>
      </c>
      <c r="I30" s="60" t="n">
        <v>47.99</v>
      </c>
      <c r="J30" s="61" t="inlineStr">
        <is>
          <t>2026-03-30</t>
        </is>
      </c>
      <c r="K30" s="33" t="n">
        <v>19.29</v>
      </c>
      <c r="L30" s="62" t="n">
        <v>0.4019587414044593</v>
      </c>
      <c r="M30" s="63" t="n">
        <v>7</v>
      </c>
      <c r="N30" s="32" t="inlineStr">
        <is>
          <t>Active</t>
        </is>
      </c>
      <c r="O30" s="32" t="n"/>
      <c r="P30" s="64" t="n">
        <v>4.3</v>
      </c>
      <c r="Q30" s="63" t="n">
        <v>1723</v>
      </c>
      <c r="R30" s="63" t="n">
        <v>4406</v>
      </c>
      <c r="S30" s="63"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59" t="n">
        <v>44.99</v>
      </c>
      <c r="H31" s="32" t="inlineStr">
        <is>
          <t>Helium 10 Xray (Amazon.ca, CAD), 2026-10-14</t>
        </is>
      </c>
      <c r="I31" s="60" t="n">
        <v>44.99</v>
      </c>
      <c r="J31" s="61" t="inlineStr">
        <is>
          <t>2026-03-30</t>
        </is>
      </c>
      <c r="K31" s="33" t="n">
        <v>17.9</v>
      </c>
      <c r="L31" s="62" t="n">
        <v>0.3978661924872194</v>
      </c>
      <c r="M31" s="63" t="n">
        <v>6</v>
      </c>
      <c r="N31" s="32" t="inlineStr">
        <is>
          <t>Active</t>
        </is>
      </c>
      <c r="O31" s="32" t="n"/>
      <c r="P31" s="64" t="n">
        <v>4.3</v>
      </c>
      <c r="Q31" s="63" t="n">
        <v>1723</v>
      </c>
      <c r="R31" s="63" t="n">
        <v>4406</v>
      </c>
      <c r="S31" s="63"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59" t="n">
        <v>47.99</v>
      </c>
      <c r="H32" s="32" t="inlineStr">
        <is>
          <t>Helium 10 Xray (Amazon.ca, CAD), 2026-10-14</t>
        </is>
      </c>
      <c r="I32" s="60" t="n">
        <v>47.99</v>
      </c>
      <c r="J32" s="61" t="inlineStr">
        <is>
          <t>2026-03-30</t>
        </is>
      </c>
      <c r="K32" s="33" t="n">
        <v>18.8</v>
      </c>
      <c r="L32" s="62" t="n">
        <v>0.3917482808918525</v>
      </c>
      <c r="M32" s="63" t="n">
        <v>6</v>
      </c>
      <c r="N32" s="32" t="inlineStr">
        <is>
          <t>Active</t>
        </is>
      </c>
      <c r="O32" s="32" t="n"/>
      <c r="P32" s="64" t="n">
        <v>4.3</v>
      </c>
      <c r="Q32" s="63" t="n">
        <v>1723</v>
      </c>
      <c r="R32" s="63" t="n">
        <v>4406</v>
      </c>
      <c r="S32" s="63"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59" t="n">
        <v>47.99</v>
      </c>
      <c r="H33" s="32" t="inlineStr">
        <is>
          <t>Helium 10 Xray (Amazon.ca, CAD), 2026-10-14</t>
        </is>
      </c>
      <c r="I33" s="60" t="n">
        <v>47.99</v>
      </c>
      <c r="J33" s="61" t="inlineStr">
        <is>
          <t>2026-03-30</t>
        </is>
      </c>
      <c r="K33" s="33" t="n">
        <v>18.09</v>
      </c>
      <c r="L33" s="62" t="n">
        <v>0.3769535319858303</v>
      </c>
      <c r="M33" s="63" t="n">
        <v>6</v>
      </c>
      <c r="N33" s="32" t="inlineStr">
        <is>
          <t>Active</t>
        </is>
      </c>
      <c r="O33" s="32" t="n"/>
      <c r="P33" s="64" t="n">
        <v>4.3</v>
      </c>
      <c r="Q33" s="63" t="n">
        <v>1723</v>
      </c>
      <c r="R33" s="63" t="n">
        <v>4406</v>
      </c>
      <c r="S33" s="63"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59" t="n">
        <v>47.99</v>
      </c>
      <c r="H34" s="32" t="inlineStr">
        <is>
          <t>Helium 10 Xray (Amazon.ca, CAD), 2026-10-14</t>
        </is>
      </c>
      <c r="I34" s="60" t="n">
        <v>47.99</v>
      </c>
      <c r="J34" s="61" t="inlineStr">
        <is>
          <t>2026-03-30</t>
        </is>
      </c>
      <c r="K34" s="33" t="n">
        <v>18.47</v>
      </c>
      <c r="L34" s="62" t="n">
        <v>0.3848718483017295</v>
      </c>
      <c r="M34" s="63" t="n">
        <v>6</v>
      </c>
      <c r="N34" s="32" t="inlineStr">
        <is>
          <t>Active</t>
        </is>
      </c>
      <c r="O34" s="32" t="n"/>
      <c r="P34" s="64" t="n">
        <v>4.3</v>
      </c>
      <c r="Q34" s="63" t="n">
        <v>1723</v>
      </c>
      <c r="R34" s="63" t="n">
        <v>4406</v>
      </c>
      <c r="S34" s="63"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59" t="n">
        <v>44.99</v>
      </c>
      <c r="H35" s="32" t="inlineStr">
        <is>
          <t>Helium 10 Xray (Amazon.ca, CAD), 2026-10-14</t>
        </is>
      </c>
      <c r="I35" s="60" t="n">
        <v>44.99</v>
      </c>
      <c r="J35" s="61" t="inlineStr">
        <is>
          <t>2026-03-30</t>
        </is>
      </c>
      <c r="K35" s="33" t="n">
        <v>17.24</v>
      </c>
      <c r="L35" s="62" t="n">
        <v>0.3831962658368527</v>
      </c>
      <c r="M35" s="63" t="n">
        <v>5</v>
      </c>
      <c r="N35" s="32" t="inlineStr">
        <is>
          <t>Active</t>
        </is>
      </c>
      <c r="O35" s="32" t="n"/>
      <c r="P35" s="64" t="n">
        <v>4.3</v>
      </c>
      <c r="Q35" s="63" t="n">
        <v>1723</v>
      </c>
      <c r="R35" s="63" t="n">
        <v>4406</v>
      </c>
      <c r="S35" s="63"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59" t="n">
        <v>44.99</v>
      </c>
      <c r="H36" s="32" t="inlineStr">
        <is>
          <t>Helium 10 Xray (Amazon.ca, CAD), 2026-10-14</t>
        </is>
      </c>
      <c r="I36" s="60" t="n">
        <v>44.99</v>
      </c>
      <c r="J36" s="61" t="inlineStr">
        <is>
          <t>2026-03-30</t>
        </is>
      </c>
      <c r="K36" s="33" t="n">
        <v>17.37</v>
      </c>
      <c r="L36" s="62" t="n">
        <v>0.3860857968437431</v>
      </c>
      <c r="M36" s="63" t="n">
        <v>5</v>
      </c>
      <c r="N36" s="32" t="inlineStr">
        <is>
          <t>Active</t>
        </is>
      </c>
      <c r="O36" s="32" t="n"/>
      <c r="P36" s="64" t="n">
        <v>4.3</v>
      </c>
      <c r="Q36" s="63" t="n">
        <v>1723</v>
      </c>
      <c r="R36" s="63" t="n">
        <v>4406</v>
      </c>
      <c r="S36" s="63"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59" t="n">
        <v>49.99</v>
      </c>
      <c r="H37" s="32" t="inlineStr">
        <is>
          <t>Helium 10 Xray (Amazon.ca, CAD), 2026-10-14</t>
        </is>
      </c>
      <c r="I37" s="60" t="n">
        <v>49.99</v>
      </c>
      <c r="J37" s="61" t="inlineStr">
        <is>
          <t>2026-03-30</t>
        </is>
      </c>
      <c r="K37" s="33" t="n">
        <v>19.64</v>
      </c>
      <c r="L37" s="62" t="n">
        <v>0.392878575715143</v>
      </c>
      <c r="M37" s="63" t="n">
        <v>5</v>
      </c>
      <c r="N37" s="32" t="inlineStr">
        <is>
          <t>Active</t>
        </is>
      </c>
      <c r="O37" s="32" t="n"/>
      <c r="P37" s="64" t="n">
        <v>4.3</v>
      </c>
      <c r="Q37" s="63" t="n">
        <v>1723</v>
      </c>
      <c r="R37" s="63" t="n">
        <v>4406</v>
      </c>
      <c r="S37" s="63"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59" t="n">
        <v>49.99</v>
      </c>
      <c r="H38" s="32" t="inlineStr">
        <is>
          <t>Helium 10 Xray (Amazon.ca, CAD), 2026-10-14</t>
        </is>
      </c>
      <c r="I38" s="60" t="n">
        <v>61.11</v>
      </c>
      <c r="J38" s="61" t="inlineStr">
        <is>
          <t>2026-03-10</t>
        </is>
      </c>
      <c r="K38" s="33" t="n">
        <v>28.25</v>
      </c>
      <c r="L38" s="62" t="n">
        <v>0.4622811323842251</v>
      </c>
      <c r="M38" s="63" t="n">
        <v>5</v>
      </c>
      <c r="N38" s="32" t="inlineStr">
        <is>
          <t>Active</t>
        </is>
      </c>
      <c r="O38" s="32" t="n"/>
      <c r="P38" s="64" t="n">
        <v>4.3</v>
      </c>
      <c r="Q38" s="63" t="n">
        <v>1723</v>
      </c>
      <c r="R38" s="63" t="n">
        <v>4406</v>
      </c>
      <c r="S38" s="63"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59" t="n">
        <v>49.99</v>
      </c>
      <c r="H39" s="32" t="inlineStr">
        <is>
          <t>Helium 10 Xray (Amazon.ca, CAD), 2026-10-14</t>
        </is>
      </c>
      <c r="I39" s="60" t="n">
        <v>49.99</v>
      </c>
      <c r="J39" s="61" t="inlineStr">
        <is>
          <t>2026-03-30</t>
        </is>
      </c>
      <c r="K39" s="33" t="n">
        <v>18.71</v>
      </c>
      <c r="L39" s="62" t="n">
        <v>0.3742748549709943</v>
      </c>
      <c r="M39" s="63" t="n">
        <v>5</v>
      </c>
      <c r="N39" s="32" t="inlineStr">
        <is>
          <t>Active</t>
        </is>
      </c>
      <c r="O39" s="32" t="n"/>
      <c r="P39" s="64" t="n">
        <v>4.3</v>
      </c>
      <c r="Q39" s="63" t="n">
        <v>1723</v>
      </c>
      <c r="R39" s="63" t="n">
        <v>4406</v>
      </c>
      <c r="S39" s="63"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59" t="n">
        <v>47.99</v>
      </c>
      <c r="H40" s="32" t="inlineStr">
        <is>
          <t>Helium 10 Xray (Amazon.ca, CAD), 2026-10-14</t>
        </is>
      </c>
      <c r="I40" s="60" t="n">
        <v>47.99</v>
      </c>
      <c r="J40" s="61" t="inlineStr">
        <is>
          <t>2026-03-30</t>
        </is>
      </c>
      <c r="K40" s="33" t="n">
        <v>18.33</v>
      </c>
      <c r="L40" s="62" t="n">
        <v>0.3819545738695561</v>
      </c>
      <c r="M40" s="63" t="n">
        <v>5</v>
      </c>
      <c r="N40" s="32" t="inlineStr">
        <is>
          <t>Active</t>
        </is>
      </c>
      <c r="O40" s="32" t="n"/>
      <c r="P40" s="64" t="n">
        <v>4.3</v>
      </c>
      <c r="Q40" s="63" t="n">
        <v>1723</v>
      </c>
      <c r="R40" s="63" t="n">
        <v>4406</v>
      </c>
      <c r="S40" s="63"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59" t="n">
        <v>39.99</v>
      </c>
      <c r="H41" s="32" t="inlineStr">
        <is>
          <t>Helium 10 Xray (Amazon.ca, CAD), 2026-10-14</t>
        </is>
      </c>
      <c r="I41" s="60" t="n">
        <v>39.99</v>
      </c>
      <c r="J41" s="61" t="inlineStr">
        <is>
          <t>2026-03-30</t>
        </is>
      </c>
      <c r="K41" s="33" t="n">
        <v>16.71</v>
      </c>
      <c r="L41" s="62" t="n">
        <v>0.417854463615904</v>
      </c>
      <c r="M41" s="63" t="n">
        <v>5</v>
      </c>
      <c r="N41" s="32" t="inlineStr">
        <is>
          <t>Active</t>
        </is>
      </c>
      <c r="O41" s="32" t="n"/>
      <c r="P41" s="64" t="n">
        <v>4.3</v>
      </c>
      <c r="Q41" s="63" t="n">
        <v>1723</v>
      </c>
      <c r="R41" s="63" t="n">
        <v>4406</v>
      </c>
      <c r="S41" s="63"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59" t="n">
        <v>44.99</v>
      </c>
      <c r="H42" s="32" t="inlineStr">
        <is>
          <t>Helium 10 Xray (Amazon.ca, CAD), 2026-10-14</t>
        </is>
      </c>
      <c r="I42" s="60" t="n">
        <v>55.92</v>
      </c>
      <c r="J42" s="61" t="inlineStr">
        <is>
          <t>2026-03-30</t>
        </is>
      </c>
      <c r="K42" s="33" t="n">
        <v>20.84</v>
      </c>
      <c r="L42" s="62" t="n">
        <v>0.3726752503576538</v>
      </c>
      <c r="M42" s="63" t="n">
        <v>4</v>
      </c>
      <c r="N42" s="32" t="inlineStr">
        <is>
          <t>Active</t>
        </is>
      </c>
      <c r="O42" s="32" t="n"/>
      <c r="P42" s="64" t="n">
        <v>4.3</v>
      </c>
      <c r="Q42" s="63" t="n">
        <v>1723</v>
      </c>
      <c r="R42" s="63" t="n">
        <v>4406</v>
      </c>
      <c r="S42" s="63"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59" t="n">
        <v>49.99</v>
      </c>
      <c r="H43" s="32" t="inlineStr">
        <is>
          <t>Helium 10 Xray (Amazon.ca, CAD), 2026-10-14</t>
        </is>
      </c>
      <c r="I43" s="60" t="n">
        <v>49.99</v>
      </c>
      <c r="J43" s="61" t="inlineStr">
        <is>
          <t>2026-03-30</t>
        </is>
      </c>
      <c r="K43" s="33" t="n">
        <v>19.37</v>
      </c>
      <c r="L43" s="62" t="n">
        <v>0.3874774954990999</v>
      </c>
      <c r="M43" s="63" t="n">
        <v>4</v>
      </c>
      <c r="N43" s="32" t="inlineStr">
        <is>
          <t>Active</t>
        </is>
      </c>
      <c r="O43" s="32" t="n"/>
      <c r="P43" s="64" t="n">
        <v>4.3</v>
      </c>
      <c r="Q43" s="63" t="n">
        <v>1723</v>
      </c>
      <c r="R43" s="63" t="n">
        <v>4406</v>
      </c>
      <c r="S43" s="63"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59" t="n">
        <v>61.41</v>
      </c>
      <c r="H44" s="32" t="inlineStr">
        <is>
          <t>Helium 10 Xray (Amazon.ca, CAD), 2026-10-14</t>
        </is>
      </c>
      <c r="I44" s="60" t="n">
        <v>49.99</v>
      </c>
      <c r="J44" s="61" t="inlineStr">
        <is>
          <t>2026-03-30</t>
        </is>
      </c>
      <c r="K44" s="33" t="n">
        <v>18.68</v>
      </c>
      <c r="L44" s="62" t="n">
        <v>0.3736747349469894</v>
      </c>
      <c r="M44" s="63" t="n">
        <v>4</v>
      </c>
      <c r="N44" s="32" t="inlineStr">
        <is>
          <t>Active</t>
        </is>
      </c>
      <c r="O44" s="32" t="n"/>
      <c r="P44" s="64" t="n">
        <v>4.3</v>
      </c>
      <c r="Q44" s="63" t="n">
        <v>1723</v>
      </c>
      <c r="R44" s="63" t="n">
        <v>4406</v>
      </c>
      <c r="S44" s="63"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59" t="n">
        <v>47.99</v>
      </c>
      <c r="H45" s="32" t="inlineStr">
        <is>
          <t>Helium 10 Xray (Amazon.ca, CAD), 2026-10-14</t>
        </is>
      </c>
      <c r="I45" s="60" t="n">
        <v>47.99</v>
      </c>
      <c r="J45" s="61" t="inlineStr">
        <is>
          <t>2026-03-30</t>
        </is>
      </c>
      <c r="K45" s="33" t="n">
        <v>19.12</v>
      </c>
      <c r="L45" s="62" t="n">
        <v>0.3984163367368202</v>
      </c>
      <c r="M45" s="63" t="n">
        <v>4</v>
      </c>
      <c r="N45" s="32" t="inlineStr">
        <is>
          <t>Active</t>
        </is>
      </c>
      <c r="O45" s="32" t="n"/>
      <c r="P45" s="64" t="n">
        <v>4.3</v>
      </c>
      <c r="Q45" s="63" t="n">
        <v>1723</v>
      </c>
      <c r="R45" s="63" t="n">
        <v>4406</v>
      </c>
      <c r="S45" s="63"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59" t="n">
        <v>47.99</v>
      </c>
      <c r="H46" s="32" t="inlineStr">
        <is>
          <t>Helium 10 Xray (Amazon.ca, CAD), 2026-10-14</t>
        </is>
      </c>
      <c r="I46" s="60" t="n">
        <v>47.99</v>
      </c>
      <c r="J46" s="61" t="inlineStr">
        <is>
          <t>2026-03-30</t>
        </is>
      </c>
      <c r="K46" s="33" t="n">
        <v>19.12</v>
      </c>
      <c r="L46" s="62" t="n">
        <v>0.3984163367368202</v>
      </c>
      <c r="M46" s="63" t="n">
        <v>4</v>
      </c>
      <c r="N46" s="32" t="inlineStr">
        <is>
          <t>Active</t>
        </is>
      </c>
      <c r="O46" s="32" t="n"/>
      <c r="P46" s="64" t="n">
        <v>4.3</v>
      </c>
      <c r="Q46" s="63" t="n">
        <v>1723</v>
      </c>
      <c r="R46" s="63" t="n">
        <v>4400</v>
      </c>
      <c r="S46" s="63"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59" t="n">
        <v>47.99</v>
      </c>
      <c r="H47" s="32" t="inlineStr">
        <is>
          <t>Helium 10 Xray (Amazon.ca, CAD), 2026-10-14</t>
        </is>
      </c>
      <c r="I47" s="60" t="n">
        <v>47.99</v>
      </c>
      <c r="J47" s="61" t="inlineStr">
        <is>
          <t>2026-03-30</t>
        </is>
      </c>
      <c r="K47" s="33" t="n">
        <v>19.2</v>
      </c>
      <c r="L47" s="62" t="n">
        <v>0.4000833506980621</v>
      </c>
      <c r="M47" s="63" t="n">
        <v>4</v>
      </c>
      <c r="N47" s="32" t="inlineStr">
        <is>
          <t>Active</t>
        </is>
      </c>
      <c r="O47" s="32" t="n"/>
      <c r="P47" s="64" t="n">
        <v>4.3</v>
      </c>
      <c r="Q47" s="63" t="n">
        <v>1723</v>
      </c>
      <c r="R47" s="63" t="n">
        <v>4406</v>
      </c>
      <c r="S47" s="63"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59" t="n">
        <v>47.99</v>
      </c>
      <c r="H48" s="32" t="inlineStr">
        <is>
          <t>Helium 10 Xray (Amazon.ca, CAD), 2026-10-14</t>
        </is>
      </c>
      <c r="I48" s="60" t="n">
        <v>47.99</v>
      </c>
      <c r="J48" s="61" t="inlineStr">
        <is>
          <t>2026-03-30</t>
        </is>
      </c>
      <c r="K48" s="33" t="n">
        <v>18.55</v>
      </c>
      <c r="L48" s="62" t="n">
        <v>0.3865388622629715</v>
      </c>
      <c r="M48" s="63" t="n">
        <v>4</v>
      </c>
      <c r="N48" s="32" t="inlineStr">
        <is>
          <t>Active</t>
        </is>
      </c>
      <c r="O48" s="32" t="n"/>
      <c r="P48" s="64" t="n">
        <v>4.3</v>
      </c>
      <c r="Q48" s="63" t="n">
        <v>1723</v>
      </c>
      <c r="R48" s="63" t="n">
        <v>4406</v>
      </c>
      <c r="S48" s="63"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59" t="n">
        <v>44.99</v>
      </c>
      <c r="H49" s="32" t="inlineStr">
        <is>
          <t>Helium 10 Xray (Amazon.ca, CAD), 2026-10-14</t>
        </is>
      </c>
      <c r="I49" s="60" t="n">
        <v>44.99</v>
      </c>
      <c r="J49" s="61" t="inlineStr">
        <is>
          <t>2026-03-30</t>
        </is>
      </c>
      <c r="K49" s="33" t="n">
        <v>17.24</v>
      </c>
      <c r="L49" s="62" t="n">
        <v>0.3831962658368527</v>
      </c>
      <c r="M49" s="63" t="n">
        <v>3</v>
      </c>
      <c r="N49" s="32" t="inlineStr">
        <is>
          <t>Active</t>
        </is>
      </c>
      <c r="O49" s="32" t="n"/>
      <c r="P49" s="64" t="n">
        <v>4.3</v>
      </c>
      <c r="Q49" s="63" t="n">
        <v>1723</v>
      </c>
      <c r="R49" s="63" t="n">
        <v>4406</v>
      </c>
      <c r="S49" s="63"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59" t="n">
        <v>49.99</v>
      </c>
      <c r="H50" s="32" t="inlineStr">
        <is>
          <t>Helium 10 Xray (Amazon.ca, CAD), 2026-10-14</t>
        </is>
      </c>
      <c r="I50" s="60" t="n">
        <v>49.99</v>
      </c>
      <c r="J50" s="61" t="inlineStr">
        <is>
          <t>2026-03-30</t>
        </is>
      </c>
      <c r="K50" s="33" t="n">
        <v>19.16</v>
      </c>
      <c r="L50" s="62" t="n">
        <v>0.3832766553310663</v>
      </c>
      <c r="M50" s="63" t="n">
        <v>3</v>
      </c>
      <c r="N50" s="32" t="inlineStr">
        <is>
          <t>Active</t>
        </is>
      </c>
      <c r="O50" s="32" t="n"/>
      <c r="P50" s="64" t="n">
        <v>4.3</v>
      </c>
      <c r="Q50" s="63" t="n">
        <v>1723</v>
      </c>
      <c r="R50" s="63" t="n">
        <v>4406</v>
      </c>
      <c r="S50" s="63"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59" t="n">
        <v>49.99</v>
      </c>
      <c r="H51" s="32" t="inlineStr">
        <is>
          <t>Helium 10 Xray (Amazon.ca, CAD), 2026-10-14</t>
        </is>
      </c>
      <c r="I51" s="60" t="n">
        <v>49.99</v>
      </c>
      <c r="J51" s="61" t="inlineStr">
        <is>
          <t>2026-03-30</t>
        </is>
      </c>
      <c r="K51" s="33" t="n">
        <v>18.6</v>
      </c>
      <c r="L51" s="62" t="n">
        <v>0.3720744148829766</v>
      </c>
      <c r="M51" s="63" t="n">
        <v>3</v>
      </c>
      <c r="N51" s="32" t="inlineStr">
        <is>
          <t>Active</t>
        </is>
      </c>
      <c r="O51" s="32" t="n"/>
      <c r="P51" s="64" t="n">
        <v>4.3</v>
      </c>
      <c r="Q51" s="63" t="n">
        <v>1723</v>
      </c>
      <c r="R51" s="63" t="n">
        <v>4406</v>
      </c>
      <c r="S51" s="63"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59" t="n">
        <v>49.99</v>
      </c>
      <c r="H52" s="32" t="inlineStr">
        <is>
          <t>Helium 10 Xray (Amazon.ca, CAD), 2026-10-14</t>
        </is>
      </c>
      <c r="I52" s="60" t="n">
        <v>49.99</v>
      </c>
      <c r="J52" s="61" t="inlineStr">
        <is>
          <t>2026-03-30</t>
        </is>
      </c>
      <c r="K52" s="33" t="n">
        <v>19.56</v>
      </c>
      <c r="L52" s="62" t="n">
        <v>0.3912782556511303</v>
      </c>
      <c r="M52" s="63" t="n">
        <v>3</v>
      </c>
      <c r="N52" s="32" t="inlineStr">
        <is>
          <t>Active</t>
        </is>
      </c>
      <c r="O52" s="32" t="n"/>
      <c r="P52" s="64" t="n">
        <v>4.3</v>
      </c>
      <c r="Q52" s="63" t="n">
        <v>1723</v>
      </c>
      <c r="R52" s="63" t="n">
        <v>4406</v>
      </c>
      <c r="S52" s="63"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59" t="n">
        <v>49.99</v>
      </c>
      <c r="H53" s="32" t="inlineStr">
        <is>
          <t>Helium 10 Xray (Amazon.ca, CAD), 2026-10-14</t>
        </is>
      </c>
      <c r="I53" s="60" t="n">
        <v>49.99</v>
      </c>
      <c r="J53" s="61" t="inlineStr">
        <is>
          <t>2026-03-30</t>
        </is>
      </c>
      <c r="K53" s="33" t="n">
        <v>19.34</v>
      </c>
      <c r="L53" s="62" t="n">
        <v>0.386877375475095</v>
      </c>
      <c r="M53" s="63" t="n">
        <v>3</v>
      </c>
      <c r="N53" s="32" t="inlineStr">
        <is>
          <t>Active</t>
        </is>
      </c>
      <c r="O53" s="32" t="n"/>
      <c r="P53" s="64" t="n">
        <v>4.3</v>
      </c>
      <c r="Q53" s="63" t="n">
        <v>1723</v>
      </c>
      <c r="R53" s="63" t="n">
        <v>4406</v>
      </c>
      <c r="S53" s="63"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59" t="n">
        <v>49.99</v>
      </c>
      <c r="H54" s="32" t="inlineStr">
        <is>
          <t>Helium 10 Xray (Amazon.ca, CAD), 2026-10-14</t>
        </is>
      </c>
      <c r="I54" s="60" t="n">
        <v>49.99</v>
      </c>
      <c r="J54" s="61" t="inlineStr">
        <is>
          <t>2026-03-30</t>
        </is>
      </c>
      <c r="K54" s="33" t="n">
        <v>19.5</v>
      </c>
      <c r="L54" s="62" t="n">
        <v>0.3900780156031207</v>
      </c>
      <c r="M54" s="63" t="n">
        <v>3</v>
      </c>
      <c r="N54" s="32" t="inlineStr">
        <is>
          <t>Active</t>
        </is>
      </c>
      <c r="O54" s="32" t="n"/>
      <c r="P54" s="64" t="n">
        <v>4.3</v>
      </c>
      <c r="Q54" s="63" t="n">
        <v>1723</v>
      </c>
      <c r="R54" s="63" t="n">
        <v>4406</v>
      </c>
      <c r="S54" s="63"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59" t="n">
        <v>47.99</v>
      </c>
      <c r="H55" s="32" t="inlineStr">
        <is>
          <t>Helium 10 Xray (Amazon.ca, CAD), 2026-10-14</t>
        </is>
      </c>
      <c r="I55" s="60" t="n">
        <v>47.99</v>
      </c>
      <c r="J55" s="61" t="inlineStr">
        <is>
          <t>2026-03-30</t>
        </is>
      </c>
      <c r="K55" s="33" t="n">
        <v>18.93</v>
      </c>
      <c r="L55" s="62" t="n">
        <v>0.3944571785788706</v>
      </c>
      <c r="M55" s="63" t="n">
        <v>3</v>
      </c>
      <c r="N55" s="32" t="inlineStr">
        <is>
          <t>Active</t>
        </is>
      </c>
      <c r="O55" s="32" t="n"/>
      <c r="P55" s="64" t="n">
        <v>4.3</v>
      </c>
      <c r="Q55" s="63" t="n">
        <v>1723</v>
      </c>
      <c r="R55" s="63" t="n">
        <v>4406</v>
      </c>
      <c r="S55" s="63"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59" t="n">
        <v>47.99</v>
      </c>
      <c r="H56" s="32" t="inlineStr">
        <is>
          <t>Helium 10 Xray (Amazon.ca, CAD), 2026-10-14</t>
        </is>
      </c>
      <c r="I56" s="60" t="n">
        <v>47.99</v>
      </c>
      <c r="J56" s="61" t="inlineStr">
        <is>
          <t>2026-03-30</t>
        </is>
      </c>
      <c r="K56" s="33" t="n">
        <v>18.24</v>
      </c>
      <c r="L56" s="62" t="n">
        <v>0.380079183163159</v>
      </c>
      <c r="M56" s="63" t="n">
        <v>3</v>
      </c>
      <c r="N56" s="32" t="inlineStr">
        <is>
          <t>Active</t>
        </is>
      </c>
      <c r="O56" s="32" t="n"/>
      <c r="P56" s="64" t="n">
        <v>4.3</v>
      </c>
      <c r="Q56" s="63" t="n">
        <v>1723</v>
      </c>
      <c r="R56" s="63" t="n">
        <v>4406</v>
      </c>
      <c r="S56" s="63"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59" t="n">
        <v>47.99</v>
      </c>
      <c r="H57" s="32" t="inlineStr">
        <is>
          <t>Helium 10 Xray (Amazon.ca, CAD), 2026-10-14</t>
        </is>
      </c>
      <c r="I57" s="60" t="n">
        <v>47.99</v>
      </c>
      <c r="J57" s="61" t="inlineStr">
        <is>
          <t>2026-03-30</t>
        </is>
      </c>
      <c r="K57" s="33" t="n">
        <v>19.26</v>
      </c>
      <c r="L57" s="62" t="n">
        <v>0.4013336111689935</v>
      </c>
      <c r="M57" s="63" t="n">
        <v>3</v>
      </c>
      <c r="N57" s="32" t="inlineStr">
        <is>
          <t>Active</t>
        </is>
      </c>
      <c r="O57" s="32" t="n"/>
      <c r="P57" s="64" t="n">
        <v>4.3</v>
      </c>
      <c r="Q57" s="63" t="n">
        <v>1723</v>
      </c>
      <c r="R57" s="63" t="n">
        <v>4406</v>
      </c>
      <c r="S57" s="63"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59" t="n">
        <v>39.99</v>
      </c>
      <c r="H58" s="32" t="inlineStr">
        <is>
          <t>Helium 10 Xray (Amazon.ca, CAD), 2026-10-14</t>
        </is>
      </c>
      <c r="I58" s="60" t="n">
        <v>48.42</v>
      </c>
      <c r="J58" s="61" t="inlineStr">
        <is>
          <t>2026-03-30</t>
        </is>
      </c>
      <c r="K58" s="33" t="n">
        <v>17.39</v>
      </c>
      <c r="L58" s="62" t="n">
        <v>0.3591491119372161</v>
      </c>
      <c r="M58" s="63" t="n">
        <v>3</v>
      </c>
      <c r="N58" s="32" t="inlineStr">
        <is>
          <t>Active</t>
        </is>
      </c>
      <c r="O58" s="32" t="n"/>
      <c r="P58" s="64" t="n">
        <v>4.3</v>
      </c>
      <c r="Q58" s="63" t="n">
        <v>1723</v>
      </c>
      <c r="R58" s="63" t="n">
        <v>4406</v>
      </c>
      <c r="S58" s="63"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59" t="n">
        <v>39.99</v>
      </c>
      <c r="H59" s="32" t="inlineStr">
        <is>
          <t>Helium 10 Xray (Amazon.ca, CAD), 2026-10-14</t>
        </is>
      </c>
      <c r="I59" s="60" t="n">
        <v>39.99</v>
      </c>
      <c r="J59" s="61" t="inlineStr">
        <is>
          <t>2026-03-30</t>
        </is>
      </c>
      <c r="K59" s="33" t="n">
        <v>15.93</v>
      </c>
      <c r="L59" s="62" t="n">
        <v>0.3983495873968493</v>
      </c>
      <c r="M59" s="63" t="n">
        <v>3</v>
      </c>
      <c r="N59" s="32" t="inlineStr">
        <is>
          <t>Active</t>
        </is>
      </c>
      <c r="O59" s="32" t="n"/>
      <c r="P59" s="64" t="n">
        <v>4.3</v>
      </c>
      <c r="Q59" s="63" t="n">
        <v>1723</v>
      </c>
      <c r="R59" s="63" t="n">
        <v>4406</v>
      </c>
      <c r="S59" s="63"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59" t="n">
        <v>39.99</v>
      </c>
      <c r="H60" s="32" t="inlineStr">
        <is>
          <t>Helium 10 Xray (Amazon.ca, CAD), 2026-10-14</t>
        </is>
      </c>
      <c r="I60" s="60" t="n">
        <v>39.99</v>
      </c>
      <c r="J60" s="61" t="inlineStr">
        <is>
          <t>2026-03-30</t>
        </is>
      </c>
      <c r="K60" s="33" t="n">
        <v>15.61</v>
      </c>
      <c r="L60" s="62" t="n">
        <v>0.3903475868967242</v>
      </c>
      <c r="M60" s="63" t="n">
        <v>3</v>
      </c>
      <c r="N60" s="32" t="inlineStr">
        <is>
          <t>Active</t>
        </is>
      </c>
      <c r="O60" s="32" t="n"/>
      <c r="P60" s="64" t="n">
        <v>4.3</v>
      </c>
      <c r="Q60" s="63" t="n">
        <v>1723</v>
      </c>
      <c r="R60" s="63" t="n">
        <v>4406</v>
      </c>
      <c r="S60" s="63"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59" t="n">
        <v>44.99</v>
      </c>
      <c r="H61" s="32" t="inlineStr">
        <is>
          <t>Helium 10 Xray (Amazon.ca, CAD), 2026-10-14</t>
        </is>
      </c>
      <c r="I61" s="60" t="n">
        <v>44.99</v>
      </c>
      <c r="J61" s="61" t="inlineStr">
        <is>
          <t>2026-03-30</t>
        </is>
      </c>
      <c r="K61" s="33" t="n">
        <v>17.38</v>
      </c>
      <c r="L61" s="62" t="n">
        <v>0.3863080684596578</v>
      </c>
      <c r="M61" s="63" t="n">
        <v>2</v>
      </c>
      <c r="N61" s="32" t="inlineStr">
        <is>
          <t>Active</t>
        </is>
      </c>
      <c r="O61" s="32" t="n"/>
      <c r="P61" s="64" t="n">
        <v>4.3</v>
      </c>
      <c r="Q61" s="63" t="n">
        <v>1723</v>
      </c>
      <c r="R61" s="63" t="n">
        <v>4406</v>
      </c>
      <c r="S61" s="63"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59" t="n">
        <v>44.99</v>
      </c>
      <c r="H62" s="32" t="inlineStr">
        <is>
          <t>Helium 10 Xray (Amazon.ca, CAD), 2026-10-14</t>
        </is>
      </c>
      <c r="I62" s="60" t="n">
        <v>44.99</v>
      </c>
      <c r="J62" s="61" t="inlineStr">
        <is>
          <t>2026-03-30</t>
        </is>
      </c>
      <c r="K62" s="33" t="n">
        <v>18.03</v>
      </c>
      <c r="L62" s="62" t="n">
        <v>0.4007557234941098</v>
      </c>
      <c r="M62" s="63" t="n">
        <v>2</v>
      </c>
      <c r="N62" s="32" t="inlineStr">
        <is>
          <t>Active</t>
        </is>
      </c>
      <c r="O62" s="32" t="n"/>
      <c r="P62" s="64" t="n">
        <v>4.3</v>
      </c>
      <c r="Q62" s="63" t="n">
        <v>1723</v>
      </c>
      <c r="R62" s="63" t="n">
        <v>4406</v>
      </c>
      <c r="S62" s="63"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59" t="n">
        <v>44.99</v>
      </c>
      <c r="H63" s="32" t="inlineStr">
        <is>
          <t>Helium 10 Xray (Amazon.ca, CAD), 2026-10-14</t>
        </is>
      </c>
      <c r="I63" s="60" t="n">
        <v>54.77</v>
      </c>
      <c r="J63" s="61" t="inlineStr">
        <is>
          <t>2026-03-30</t>
        </is>
      </c>
      <c r="K63" s="33" t="n">
        <v>19.58000000000001</v>
      </c>
      <c r="L63" s="62" t="n">
        <v>0.357494979003104</v>
      </c>
      <c r="M63" s="63" t="n">
        <v>2</v>
      </c>
      <c r="N63" s="32" t="inlineStr">
        <is>
          <t>Active</t>
        </is>
      </c>
      <c r="O63" s="32" t="n"/>
      <c r="P63" s="64" t="n">
        <v>4.3</v>
      </c>
      <c r="Q63" s="63" t="n">
        <v>1723</v>
      </c>
      <c r="R63" s="63" t="n">
        <v>4406</v>
      </c>
      <c r="S63" s="63"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59" t="n">
        <v>44.99</v>
      </c>
      <c r="H64" s="32" t="inlineStr">
        <is>
          <t>Helium 10 Xray (Amazon.ca, CAD), 2026-10-14</t>
        </is>
      </c>
      <c r="I64" s="60" t="n">
        <v>54.61</v>
      </c>
      <c r="J64" s="61" t="inlineStr">
        <is>
          <t>2026-03-30</t>
        </is>
      </c>
      <c r="K64" s="33" t="n">
        <v>20.18</v>
      </c>
      <c r="L64" s="62" t="n">
        <v>0.3695293902215713</v>
      </c>
      <c r="M64" s="63" t="n">
        <v>2</v>
      </c>
      <c r="N64" s="32" t="inlineStr">
        <is>
          <t>Active</t>
        </is>
      </c>
      <c r="O64" s="32" t="n"/>
      <c r="P64" s="64" t="n">
        <v>4.3</v>
      </c>
      <c r="Q64" s="63" t="n">
        <v>1723</v>
      </c>
      <c r="R64" s="63" t="n">
        <v>4406</v>
      </c>
      <c r="S64" s="63"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59" t="n">
        <v>55.27</v>
      </c>
      <c r="H65" s="32" t="inlineStr">
        <is>
          <t>Helium 10 Xray (Amazon.ca, CAD), 2026-10-14</t>
        </is>
      </c>
      <c r="I65" s="60" t="n">
        <v>44.99</v>
      </c>
      <c r="J65" s="61" t="inlineStr">
        <is>
          <t>2026-03-30</t>
        </is>
      </c>
      <c r="K65" s="33" t="n">
        <v>17.18</v>
      </c>
      <c r="L65" s="62" t="n">
        <v>0.3818626361413647</v>
      </c>
      <c r="M65" s="63" t="n">
        <v>2</v>
      </c>
      <c r="N65" s="32" t="inlineStr">
        <is>
          <t>Active</t>
        </is>
      </c>
      <c r="O65" s="32" t="n"/>
      <c r="P65" s="64" t="n">
        <v>4.3</v>
      </c>
      <c r="Q65" s="63" t="n">
        <v>1723</v>
      </c>
      <c r="R65" s="63" t="n">
        <v>4406</v>
      </c>
      <c r="S65" s="63"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59" t="n">
        <v>44.99</v>
      </c>
      <c r="H66" s="32" t="inlineStr">
        <is>
          <t>Helium 10 Xray (Amazon.ca, CAD), 2026-10-14</t>
        </is>
      </c>
      <c r="I66" s="60" t="n">
        <v>44.99</v>
      </c>
      <c r="J66" s="61" t="inlineStr">
        <is>
          <t>2026-03-30</t>
        </is>
      </c>
      <c r="K66" s="33" t="n">
        <v>17.39</v>
      </c>
      <c r="L66" s="62" t="n">
        <v>0.3865303400755724</v>
      </c>
      <c r="M66" s="63" t="n">
        <v>2</v>
      </c>
      <c r="N66" s="32" t="inlineStr">
        <is>
          <t>Active</t>
        </is>
      </c>
      <c r="O66" s="32" t="n"/>
      <c r="P66" s="64" t="n">
        <v>4.3</v>
      </c>
      <c r="Q66" s="63" t="n">
        <v>1723</v>
      </c>
      <c r="R66" s="63" t="n">
        <v>4406</v>
      </c>
      <c r="S66" s="63"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59" t="n">
        <v>49.99</v>
      </c>
      <c r="H67" s="32" t="inlineStr">
        <is>
          <t>Helium 10 Xray (Amazon.ca, CAD), 2026-10-14</t>
        </is>
      </c>
      <c r="I67" s="60" t="n">
        <v>61.05</v>
      </c>
      <c r="J67" s="61" t="inlineStr">
        <is>
          <t>2026-03-04</t>
        </is>
      </c>
      <c r="K67" s="33" t="n">
        <v>28.54</v>
      </c>
      <c r="L67" s="62" t="n">
        <v>0.4674856674856675</v>
      </c>
      <c r="M67" s="63" t="n">
        <v>2</v>
      </c>
      <c r="N67" s="32" t="inlineStr">
        <is>
          <t>Active</t>
        </is>
      </c>
      <c r="O67" s="32" t="n"/>
      <c r="P67" s="64" t="n">
        <v>4.3</v>
      </c>
      <c r="Q67" s="63" t="n">
        <v>1723</v>
      </c>
      <c r="R67" s="63" t="n">
        <v>4406</v>
      </c>
      <c r="S67" s="63"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59" t="n">
        <v>49.99</v>
      </c>
      <c r="H68" s="32" t="inlineStr">
        <is>
          <t>Helium 10 Xray (Amazon.ca, CAD), 2026-10-14</t>
        </is>
      </c>
      <c r="I68" s="60" t="n">
        <v>49.99</v>
      </c>
      <c r="J68" s="61" t="inlineStr">
        <is>
          <t>2026-03-30</t>
        </is>
      </c>
      <c r="K68" s="33" t="n">
        <v>19.06</v>
      </c>
      <c r="L68" s="62" t="n">
        <v>0.3812762552510502</v>
      </c>
      <c r="M68" s="63" t="n">
        <v>2</v>
      </c>
      <c r="N68" s="32" t="inlineStr">
        <is>
          <t>Active</t>
        </is>
      </c>
      <c r="O68" s="32" t="n"/>
      <c r="P68" s="64" t="n">
        <v>4.3</v>
      </c>
      <c r="Q68" s="63" t="n">
        <v>1723</v>
      </c>
      <c r="R68" s="63" t="n">
        <v>4406</v>
      </c>
      <c r="S68" s="63"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0" t="n">
        <v>49.99</v>
      </c>
      <c r="J69" s="61" t="inlineStr">
        <is>
          <t>2026-03-30</t>
        </is>
      </c>
      <c r="K69" s="33" t="n">
        <v>18.81</v>
      </c>
      <c r="L69" s="62" t="n">
        <v>0.3762752550510102</v>
      </c>
      <c r="M69" s="63" t="n">
        <v>2</v>
      </c>
      <c r="N69" s="65" t="inlineStr">
        <is>
          <t>No Buy Box on Amazon 2026-10-14 (page says 'No featured offers available') - FBA stock 0 since 2026-10-12, nothing inbound (DataHub 2026-10-14)</t>
        </is>
      </c>
      <c r="O69" s="32" t="n"/>
      <c r="P69" s="64" t="n">
        <v>4.3</v>
      </c>
      <c r="Q69" s="63" t="n">
        <v>1723</v>
      </c>
      <c r="R69" s="63" t="n">
        <v>4406</v>
      </c>
      <c r="S69" s="63"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59" t="n">
        <v>49.99</v>
      </c>
      <c r="H70" s="32" t="inlineStr">
        <is>
          <t>Helium 10 Xray (Amazon.ca, CAD), 2026-10-14</t>
        </is>
      </c>
      <c r="I70" s="60" t="n">
        <v>55.08</v>
      </c>
      <c r="J70" s="61" t="inlineStr">
        <is>
          <t>2026-03-30</t>
        </is>
      </c>
      <c r="K70" s="33" t="n">
        <v>17.22</v>
      </c>
      <c r="L70" s="62" t="n">
        <v>0.312636165577342</v>
      </c>
      <c r="M70" s="63" t="n">
        <v>2</v>
      </c>
      <c r="N70" s="32" t="inlineStr">
        <is>
          <t>Active</t>
        </is>
      </c>
      <c r="O70" s="32" t="n"/>
      <c r="P70" s="64" t="n">
        <v>4.3</v>
      </c>
      <c r="Q70" s="63" t="n">
        <v>1723</v>
      </c>
      <c r="R70" s="63" t="n">
        <v>4406</v>
      </c>
      <c r="S70" s="63"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59" t="n">
        <v>49.99</v>
      </c>
      <c r="H71" s="32" t="inlineStr">
        <is>
          <t>Helium 10 Xray (Amazon.ca, CAD), 2026-10-14</t>
        </is>
      </c>
      <c r="I71" s="60" t="n">
        <v>49.99</v>
      </c>
      <c r="J71" s="61" t="inlineStr">
        <is>
          <t>2026-03-30</t>
        </is>
      </c>
      <c r="K71" s="33" t="n">
        <v>19.67</v>
      </c>
      <c r="L71" s="62" t="n">
        <v>0.3934786957391478</v>
      </c>
      <c r="M71" s="63" t="n">
        <v>2</v>
      </c>
      <c r="N71" s="32" t="inlineStr">
        <is>
          <t>Active</t>
        </is>
      </c>
      <c r="O71" s="32" t="n"/>
      <c r="P71" s="64" t="n">
        <v>4.3</v>
      </c>
      <c r="Q71" s="63" t="n">
        <v>1723</v>
      </c>
      <c r="R71" s="63" t="n">
        <v>4406</v>
      </c>
      <c r="S71" s="63"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59" t="n">
        <v>49.99</v>
      </c>
      <c r="H72" s="32" t="inlineStr">
        <is>
          <t>Helium 10 Xray (Amazon.ca, CAD), 2026-10-14</t>
        </is>
      </c>
      <c r="I72" s="60" t="n">
        <v>49.99</v>
      </c>
      <c r="J72" s="61" t="inlineStr">
        <is>
          <t>2026-03-30</t>
        </is>
      </c>
      <c r="K72" s="33" t="n">
        <v>19.13</v>
      </c>
      <c r="L72" s="62" t="n">
        <v>0.3826765353070615</v>
      </c>
      <c r="M72" s="63" t="n">
        <v>2</v>
      </c>
      <c r="N72" s="32" t="inlineStr">
        <is>
          <t>Active</t>
        </is>
      </c>
      <c r="O72" s="32" t="n"/>
      <c r="P72" s="64" t="n">
        <v>4.3</v>
      </c>
      <c r="Q72" s="63" t="n">
        <v>1723</v>
      </c>
      <c r="R72" s="63" t="n">
        <v>4406</v>
      </c>
      <c r="S72" s="63"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0" t="n">
        <v>49.99</v>
      </c>
      <c r="J73" s="61" t="inlineStr">
        <is>
          <t>2026-03-30</t>
        </is>
      </c>
      <c r="K73" s="33" t="n">
        <v>18.77</v>
      </c>
      <c r="L73" s="62" t="n">
        <v>0.3754750950190038</v>
      </c>
      <c r="M73" s="63" t="n">
        <v>2</v>
      </c>
      <c r="N73" s="65" t="inlineStr">
        <is>
          <t>Not buyable on Amazon 2026-10-14: page redirects to B0C7FHXP11 (Full Taupe) - FBA stock 0 since 2026-10-07, nothing inbound (DataHub 2026-10-14)</t>
        </is>
      </c>
      <c r="O73" s="32" t="n"/>
      <c r="P73" s="64" t="n"/>
      <c r="Q73" s="63" t="n"/>
      <c r="R73" s="63" t="n"/>
      <c r="S73" s="63"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59" t="n">
        <v>58.96</v>
      </c>
      <c r="H74" s="32" t="inlineStr">
        <is>
          <t>Helium 10 Xray (Amazon.ca, CAD), 2026-10-14</t>
        </is>
      </c>
      <c r="I74" s="60" t="n">
        <v>47.99</v>
      </c>
      <c r="J74" s="61" t="inlineStr">
        <is>
          <t>2026-03-30</t>
        </is>
      </c>
      <c r="K74" s="33" t="n">
        <v>18.79</v>
      </c>
      <c r="L74" s="62" t="n">
        <v>0.3915399041466972</v>
      </c>
      <c r="M74" s="63" t="n">
        <v>2</v>
      </c>
      <c r="N74" s="32" t="inlineStr">
        <is>
          <t>Active</t>
        </is>
      </c>
      <c r="O74" s="32" t="n"/>
      <c r="P74" s="64" t="n">
        <v>4.3</v>
      </c>
      <c r="Q74" s="63" t="n">
        <v>1723</v>
      </c>
      <c r="R74" s="63" t="n">
        <v>4406</v>
      </c>
      <c r="S74" s="63"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0" t="n">
        <v>47.99</v>
      </c>
      <c r="J75" s="61" t="inlineStr">
        <is>
          <t>2026-03-30</t>
        </is>
      </c>
      <c r="K75" s="33" t="n">
        <v>18.6</v>
      </c>
      <c r="L75" s="62" t="n">
        <v>0.3875807459887476</v>
      </c>
      <c r="M75" s="63" t="n">
        <v>2</v>
      </c>
      <c r="N75" s="65" t="inlineStr">
        <is>
          <t>Not buyable on Amazon 2026-10-14: page redirects to B0C7K3WWDT (Full Striped Purple) - FBA stock 0 since 2026-09-21, nothing inbound (DataHub 2026-10-14)</t>
        </is>
      </c>
      <c r="O75" s="32" t="n"/>
      <c r="P75" s="64" t="n"/>
      <c r="Q75" s="63" t="n"/>
      <c r="R75" s="63" t="n"/>
      <c r="S75" s="63"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59" t="n">
        <v>39.99</v>
      </c>
      <c r="H76" s="32" t="inlineStr">
        <is>
          <t>Helium 10 Xray (Amazon.ca, CAD), 2026-10-14</t>
        </is>
      </c>
      <c r="I76" s="60" t="n">
        <v>39.99</v>
      </c>
      <c r="J76" s="61" t="inlineStr">
        <is>
          <t>2026-03-30</t>
        </is>
      </c>
      <c r="K76" s="33" t="n">
        <v>16.99</v>
      </c>
      <c r="L76" s="62" t="n">
        <v>0.4248562140535135</v>
      </c>
      <c r="M76" s="63" t="n">
        <v>2</v>
      </c>
      <c r="N76" s="32" t="inlineStr">
        <is>
          <t>Active</t>
        </is>
      </c>
      <c r="O76" s="32" t="n"/>
      <c r="P76" s="64" t="n">
        <v>4.3</v>
      </c>
      <c r="Q76" s="63" t="n">
        <v>1723</v>
      </c>
      <c r="R76" s="63" t="n">
        <v>4406</v>
      </c>
      <c r="S76" s="63"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59" t="n">
        <v>44.99</v>
      </c>
      <c r="H77" s="32" t="inlineStr">
        <is>
          <t>Helium 10 Xray (Amazon.ca, CAD), 2026-10-14</t>
        </is>
      </c>
      <c r="I77" s="60" t="n">
        <v>44.99</v>
      </c>
      <c r="J77" s="61" t="inlineStr">
        <is>
          <t>2026-03-30</t>
        </is>
      </c>
      <c r="K77" s="33" t="n">
        <v>17.05</v>
      </c>
      <c r="L77" s="62" t="n">
        <v>0.3789731051344745</v>
      </c>
      <c r="M77" s="63" t="n">
        <v>1</v>
      </c>
      <c r="N77" s="32" t="inlineStr">
        <is>
          <t>Active</t>
        </is>
      </c>
      <c r="O77" s="32" t="n"/>
      <c r="P77" s="64" t="n">
        <v>4.3</v>
      </c>
      <c r="Q77" s="63" t="n">
        <v>1723</v>
      </c>
      <c r="R77" s="63" t="n">
        <v>4406</v>
      </c>
      <c r="S77" s="63"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59" t="n">
        <v>55.27</v>
      </c>
      <c r="H78" s="32" t="inlineStr">
        <is>
          <t>Helium 10 Xray (Amazon.ca, CAD), 2026-10-14</t>
        </is>
      </c>
      <c r="I78" s="60" t="n">
        <v>44.99</v>
      </c>
      <c r="J78" s="61" t="inlineStr">
        <is>
          <t>2026-03-30</t>
        </is>
      </c>
      <c r="K78" s="33" t="n">
        <v>18.21</v>
      </c>
      <c r="L78" s="62" t="n">
        <v>0.4047566125805734</v>
      </c>
      <c r="M78" s="63" t="n">
        <v>1</v>
      </c>
      <c r="N78" s="32" t="inlineStr">
        <is>
          <t>Active</t>
        </is>
      </c>
      <c r="O78" s="32" t="n"/>
      <c r="P78" s="64" t="n">
        <v>4.3</v>
      </c>
      <c r="Q78" s="63" t="n">
        <v>1723</v>
      </c>
      <c r="R78" s="63" t="n">
        <v>4406</v>
      </c>
      <c r="S78" s="63"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59" t="n">
        <v>55.27</v>
      </c>
      <c r="H79" s="32" t="inlineStr">
        <is>
          <t>Helium 10 Xray (Amazon.ca, CAD), 2026-10-14</t>
        </is>
      </c>
      <c r="I79" s="60" t="n">
        <v>44.99</v>
      </c>
      <c r="J79" s="61" t="inlineStr">
        <is>
          <t>2026-03-30</t>
        </is>
      </c>
      <c r="K79" s="33" t="n">
        <v>17.59</v>
      </c>
      <c r="L79" s="62" t="n">
        <v>0.3909757723938654</v>
      </c>
      <c r="M79" s="63" t="n">
        <v>1</v>
      </c>
      <c r="N79" s="32" t="inlineStr">
        <is>
          <t>Active</t>
        </is>
      </c>
      <c r="O79" s="32" t="n"/>
      <c r="P79" s="64" t="n">
        <v>4.3</v>
      </c>
      <c r="Q79" s="63" t="n">
        <v>1723</v>
      </c>
      <c r="R79" s="63" t="n">
        <v>4406</v>
      </c>
      <c r="S79" s="63"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59" t="n">
        <v>44.99</v>
      </c>
      <c r="H80" s="32" t="inlineStr">
        <is>
          <t>Helium 10 Xray (Amazon.ca, CAD), 2026-10-14</t>
        </is>
      </c>
      <c r="I80" s="60" t="n">
        <v>44.99</v>
      </c>
      <c r="J80" s="61" t="inlineStr">
        <is>
          <t>2026-03-30</t>
        </is>
      </c>
      <c r="K80" s="33" t="n">
        <v>16.44</v>
      </c>
      <c r="L80" s="62" t="n">
        <v>0.3654145365636808</v>
      </c>
      <c r="M80" s="63" t="n">
        <v>1</v>
      </c>
      <c r="N80" s="32" t="inlineStr">
        <is>
          <t>Active</t>
        </is>
      </c>
      <c r="O80" s="32" t="n"/>
      <c r="P80" s="64" t="n">
        <v>4.3</v>
      </c>
      <c r="Q80" s="63" t="n">
        <v>1723</v>
      </c>
      <c r="R80" s="63" t="n">
        <v>4406</v>
      </c>
      <c r="S80" s="63"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0" t="n">
        <v>44.99</v>
      </c>
      <c r="J81" s="61" t="inlineStr">
        <is>
          <t>2026-03-30</t>
        </is>
      </c>
      <c r="K81" s="33" t="n">
        <v>17.59</v>
      </c>
      <c r="L81" s="62" t="n">
        <v>0.3909757723938654</v>
      </c>
      <c r="M81" s="63" t="n">
        <v>1</v>
      </c>
      <c r="N81" s="65" t="inlineStr">
        <is>
          <t>No Buy Box on Amazon 2026-10-14 (page says 'No featured offers available') - 23 units in FBA stock, so not a stock-out: offer / listing issue (DataHub 2026-10-14)</t>
        </is>
      </c>
      <c r="O81" s="32" t="n"/>
      <c r="P81" s="64" t="n">
        <v>4.3</v>
      </c>
      <c r="Q81" s="63" t="n">
        <v>1723</v>
      </c>
      <c r="R81" s="63" t="n">
        <v>4406</v>
      </c>
      <c r="S81" s="63"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59" t="n">
        <v>49.99</v>
      </c>
      <c r="H82" s="32" t="inlineStr">
        <is>
          <t>Helium 10 Xray (Amazon.ca, CAD), 2026-10-14</t>
        </is>
      </c>
      <c r="I82" s="60" t="n">
        <v>49.99</v>
      </c>
      <c r="J82" s="61" t="inlineStr">
        <is>
          <t>2026-03-30</t>
        </is>
      </c>
      <c r="K82" s="33" t="n">
        <v>18.89</v>
      </c>
      <c r="L82" s="62" t="n">
        <v>0.377875575115023</v>
      </c>
      <c r="M82" s="63" t="n">
        <v>1</v>
      </c>
      <c r="N82" s="32" t="inlineStr">
        <is>
          <t>Active</t>
        </is>
      </c>
      <c r="O82" s="32" t="n"/>
      <c r="P82" s="64" t="n">
        <v>4.3</v>
      </c>
      <c r="Q82" s="63" t="n">
        <v>1723</v>
      </c>
      <c r="R82" s="63" t="n">
        <v>4406</v>
      </c>
      <c r="S82" s="63"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0" t="n">
        <v>49.99</v>
      </c>
      <c r="J83" s="61" t="inlineStr">
        <is>
          <t>2026-03-30</t>
        </is>
      </c>
      <c r="K83" s="33" t="n">
        <v>17.96</v>
      </c>
      <c r="L83" s="62" t="n">
        <v>0.3592718543708742</v>
      </c>
      <c r="M83" s="63" t="n">
        <v>1</v>
      </c>
      <c r="N83" s="65" t="inlineStr">
        <is>
          <t>Not buyable on Amazon 2026-10-14: page redirects to B0C7K3WWDT (Full Striped Purple) - FBA stock 0 since 2026-09-25, nothing inbound (DataHub 2026-10-14)</t>
        </is>
      </c>
      <c r="O83" s="32" t="n"/>
      <c r="P83" s="64" t="n"/>
      <c r="Q83" s="63" t="n"/>
      <c r="R83" s="63" t="n"/>
      <c r="S83" s="63"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59" t="n">
        <v>49.99</v>
      </c>
      <c r="H84" s="32" t="inlineStr">
        <is>
          <t>Helium 10 Xray (Amazon.ca, CAD), 2026-10-14</t>
        </is>
      </c>
      <c r="I84" s="60" t="n">
        <v>60.59</v>
      </c>
      <c r="J84" s="61" t="inlineStr">
        <is>
          <t>2026-03-30</t>
        </is>
      </c>
      <c r="K84" s="33" t="n">
        <v>21.9</v>
      </c>
      <c r="L84" s="62" t="n">
        <v>0.3614457831325301</v>
      </c>
      <c r="M84" s="63" t="n">
        <v>1</v>
      </c>
      <c r="N84" s="32" t="inlineStr">
        <is>
          <t>Active</t>
        </is>
      </c>
      <c r="O84" s="32" t="n"/>
      <c r="P84" s="64" t="n">
        <v>4.3</v>
      </c>
      <c r="Q84" s="63" t="n">
        <v>1723</v>
      </c>
      <c r="R84" s="63" t="n">
        <v>4406</v>
      </c>
      <c r="S84" s="63"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0" t="n">
        <v>47.99</v>
      </c>
      <c r="J85" s="61" t="inlineStr">
        <is>
          <t>2026-03-30</t>
        </is>
      </c>
      <c r="K85" s="33" t="n">
        <v>18.79</v>
      </c>
      <c r="L85" s="62" t="n">
        <v>0.3915399041466972</v>
      </c>
      <c r="M85" s="63" t="n">
        <v>1</v>
      </c>
      <c r="N85" s="65" t="inlineStr">
        <is>
          <t>Not buyable on Amazon 2026-10-14: page redirects to B0C7FSXPC5 (Full Champagne) - FBA stock 0 since 2026-10-05, nothing inbound (DataHub 2026-10-14)</t>
        </is>
      </c>
      <c r="O85" s="32" t="n"/>
      <c r="P85" s="64" t="n"/>
      <c r="Q85" s="63" t="n"/>
      <c r="R85" s="63" t="n"/>
      <c r="S85" s="63"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59" t="n">
        <v>47.99</v>
      </c>
      <c r="H86" s="32" t="inlineStr">
        <is>
          <t>Helium 10 Xray (Amazon.ca, CAD), 2026-10-14</t>
        </is>
      </c>
      <c r="I86" s="60" t="n">
        <v>56.98</v>
      </c>
      <c r="J86" s="61" t="inlineStr">
        <is>
          <t>2026-03-30</t>
        </is>
      </c>
      <c r="K86" s="33" t="n">
        <v>22.91</v>
      </c>
      <c r="L86" s="62" t="n">
        <v>0.402070902070902</v>
      </c>
      <c r="M86" s="63" t="n">
        <v>1</v>
      </c>
      <c r="N86" s="32" t="inlineStr">
        <is>
          <t>Active</t>
        </is>
      </c>
      <c r="O86" s="32" t="n"/>
      <c r="P86" s="64" t="n">
        <v>4.3</v>
      </c>
      <c r="Q86" s="63" t="n">
        <v>1723</v>
      </c>
      <c r="R86" s="63" t="n">
        <v>4406</v>
      </c>
      <c r="S86" s="63"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59" t="n">
        <v>47.99</v>
      </c>
      <c r="H87" s="32" t="inlineStr">
        <is>
          <t>Helium 10 Xray (Amazon.ca, CAD), 2026-10-14</t>
        </is>
      </c>
      <c r="I87" s="60" t="n">
        <v>47.99</v>
      </c>
      <c r="J87" s="61" t="inlineStr">
        <is>
          <t>2026-03-30</t>
        </is>
      </c>
      <c r="K87" s="33" t="n">
        <v>18.79</v>
      </c>
      <c r="L87" s="62" t="n">
        <v>0.3915399041466972</v>
      </c>
      <c r="M87" s="63" t="n">
        <v>1</v>
      </c>
      <c r="N87" s="32" t="inlineStr">
        <is>
          <t>Active</t>
        </is>
      </c>
      <c r="O87" s="32" t="n"/>
      <c r="P87" s="64" t="n">
        <v>4.3</v>
      </c>
      <c r="Q87" s="63" t="n">
        <v>1723</v>
      </c>
      <c r="R87" s="63" t="n">
        <v>4406</v>
      </c>
      <c r="S87" s="63"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59" t="n">
        <v>58.96</v>
      </c>
      <c r="H88" s="32" t="inlineStr">
        <is>
          <t>Helium 10 Xray (Amazon.ca, CAD), 2026-10-14</t>
        </is>
      </c>
      <c r="I88" s="60" t="n">
        <v>47.99</v>
      </c>
      <c r="J88" s="61" t="inlineStr">
        <is>
          <t>2026-03-30</t>
        </is>
      </c>
      <c r="K88" s="33" t="n">
        <v>18.6</v>
      </c>
      <c r="L88" s="62" t="n">
        <v>0.3875807459887476</v>
      </c>
      <c r="M88" s="63" t="n">
        <v>1</v>
      </c>
      <c r="N88" s="32" t="inlineStr">
        <is>
          <t>Active</t>
        </is>
      </c>
      <c r="O88" s="32" t="n"/>
      <c r="P88" s="64" t="n">
        <v>4.3</v>
      </c>
      <c r="Q88" s="63" t="n">
        <v>1723</v>
      </c>
      <c r="R88" s="63" t="n">
        <v>4406</v>
      </c>
      <c r="S88" s="63"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59" t="n">
        <v>47.99</v>
      </c>
      <c r="H89" s="32" t="inlineStr">
        <is>
          <t>Helium 10 Xray (Amazon.ca, CAD), 2026-10-14</t>
        </is>
      </c>
      <c r="I89" s="60" t="n">
        <v>47.99</v>
      </c>
      <c r="J89" s="61" t="inlineStr">
        <is>
          <t>2026-03-30</t>
        </is>
      </c>
      <c r="K89" s="33" t="n">
        <v>18.24</v>
      </c>
      <c r="L89" s="62" t="n">
        <v>0.3800791831631589</v>
      </c>
      <c r="M89" s="63" t="n">
        <v>1</v>
      </c>
      <c r="N89" s="32" t="inlineStr">
        <is>
          <t>Active</t>
        </is>
      </c>
      <c r="O89" s="32" t="n"/>
      <c r="P89" s="64" t="n">
        <v>4.3</v>
      </c>
      <c r="Q89" s="63" t="n">
        <v>1723</v>
      </c>
      <c r="R89" s="63" t="n">
        <v>4406</v>
      </c>
      <c r="S89" s="63"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59" t="n">
        <v>39.99</v>
      </c>
      <c r="H90" s="32" t="inlineStr">
        <is>
          <t>Helium 10 Xray (Amazon.ca, CAD), 2026-10-14</t>
        </is>
      </c>
      <c r="I90" s="60" t="n">
        <v>39.99</v>
      </c>
      <c r="J90" s="61" t="inlineStr">
        <is>
          <t>2026-03-30</t>
        </is>
      </c>
      <c r="K90" s="33" t="n">
        <v>17.56</v>
      </c>
      <c r="L90" s="62" t="n">
        <v>0.4391097774443612</v>
      </c>
      <c r="M90" s="63" t="n">
        <v>1</v>
      </c>
      <c r="N90" s="32" t="inlineStr">
        <is>
          <t>Active</t>
        </is>
      </c>
      <c r="O90" s="32" t="n"/>
      <c r="P90" s="64" t="n">
        <v>4.3</v>
      </c>
      <c r="Q90" s="63" t="n">
        <v>1723</v>
      </c>
      <c r="R90" s="63" t="n">
        <v>4406</v>
      </c>
      <c r="S90" s="63"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59" t="n">
        <v>39.99</v>
      </c>
      <c r="H91" s="32" t="inlineStr">
        <is>
          <t>Helium 10 Xray (Amazon.ca, CAD), 2026-10-14</t>
        </is>
      </c>
      <c r="I91" s="60" t="n">
        <v>39.99</v>
      </c>
      <c r="J91" s="61" t="inlineStr">
        <is>
          <t>2026-03-30</t>
        </is>
      </c>
      <c r="K91" s="33" t="n">
        <v>16.16</v>
      </c>
      <c r="L91" s="62" t="n">
        <v>0.4041010252563141</v>
      </c>
      <c r="M91" s="63" t="n">
        <v>1</v>
      </c>
      <c r="N91" s="32" t="inlineStr">
        <is>
          <t>Active</t>
        </is>
      </c>
      <c r="O91" s="32" t="n"/>
      <c r="P91" s="64" t="n">
        <v>4.3</v>
      </c>
      <c r="Q91" s="63" t="n">
        <v>1723</v>
      </c>
      <c r="R91" s="63" t="n">
        <v>4406</v>
      </c>
      <c r="S91" s="63"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59" t="n">
        <v>39.99</v>
      </c>
      <c r="H92" s="32" t="inlineStr">
        <is>
          <t>Helium 10 Xray (Amazon.ca, CAD), 2026-10-14</t>
        </is>
      </c>
      <c r="I92" s="60" t="n">
        <v>39.99</v>
      </c>
      <c r="J92" s="61" t="inlineStr">
        <is>
          <t>2026-03-30</t>
        </is>
      </c>
      <c r="K92" s="33" t="n">
        <v>16.41</v>
      </c>
      <c r="L92" s="62" t="n">
        <v>0.4103525881470367</v>
      </c>
      <c r="M92" s="63" t="n">
        <v>1</v>
      </c>
      <c r="N92" s="32" t="inlineStr">
        <is>
          <t>Active</t>
        </is>
      </c>
      <c r="O92" s="32" t="n"/>
      <c r="P92" s="64" t="n">
        <v>4.3</v>
      </c>
      <c r="Q92" s="63" t="n">
        <v>1723</v>
      </c>
      <c r="R92" s="63" t="n">
        <v>4406</v>
      </c>
      <c r="S92" s="63"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59" t="n">
        <v>39.99</v>
      </c>
      <c r="H93" s="32" t="inlineStr">
        <is>
          <t>Helium 10 Xray (Amazon.ca, CAD), 2026-10-14</t>
        </is>
      </c>
      <c r="I93" s="60" t="n">
        <v>39.99</v>
      </c>
      <c r="J93" s="61" t="inlineStr">
        <is>
          <t>2026-03-30</t>
        </is>
      </c>
      <c r="K93" s="33" t="n">
        <v>15.73</v>
      </c>
      <c r="L93" s="62" t="n">
        <v>0.393348337084271</v>
      </c>
      <c r="M93" s="63" t="n">
        <v>1</v>
      </c>
      <c r="N93" s="32" t="inlineStr">
        <is>
          <t>Active</t>
        </is>
      </c>
      <c r="O93" s="32" t="n"/>
      <c r="P93" s="64" t="n">
        <v>4.3</v>
      </c>
      <c r="Q93" s="63" t="n">
        <v>1723</v>
      </c>
      <c r="R93" s="63" t="n">
        <v>4406</v>
      </c>
      <c r="S93" s="63"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59" t="n">
        <v>39.99</v>
      </c>
      <c r="H94" s="32" t="inlineStr">
        <is>
          <t>Helium 10 Xray (Amazon.ca, CAD), 2026-10-14</t>
        </is>
      </c>
      <c r="I94" s="60" t="n">
        <v>39.99</v>
      </c>
      <c r="J94" s="61" t="inlineStr">
        <is>
          <t>2026-03-30</t>
        </is>
      </c>
      <c r="K94" s="33" t="n">
        <v>16.77</v>
      </c>
      <c r="L94" s="62" t="n">
        <v>0.4193548387096775</v>
      </c>
      <c r="M94" s="63" t="n">
        <v>1</v>
      </c>
      <c r="N94" s="32" t="inlineStr">
        <is>
          <t>Active</t>
        </is>
      </c>
      <c r="O94" s="32" t="n"/>
      <c r="P94" s="64" t="n">
        <v>4.3</v>
      </c>
      <c r="Q94" s="63" t="n">
        <v>1723</v>
      </c>
      <c r="R94" s="63" t="n">
        <v>4406</v>
      </c>
      <c r="S94" s="63"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59" t="n">
        <v>44.99</v>
      </c>
      <c r="H95" s="32" t="inlineStr">
        <is>
          <t>Helium 10 Xray (Amazon.ca, CAD), 2026-10-14</t>
        </is>
      </c>
      <c r="I95" s="60" t="n">
        <v>44.99</v>
      </c>
      <c r="J95" s="61" t="inlineStr">
        <is>
          <t>2026-03-30</t>
        </is>
      </c>
      <c r="K95" s="33" t="n">
        <v>18.03</v>
      </c>
      <c r="L95" s="62" t="n">
        <v>0.4007557234941098</v>
      </c>
      <c r="M95" s="63" t="n">
        <v>0</v>
      </c>
      <c r="N95" s="32" t="inlineStr">
        <is>
          <t>Active</t>
        </is>
      </c>
      <c r="O95" s="32" t="n"/>
      <c r="P95" s="64" t="n">
        <v>4.3</v>
      </c>
      <c r="Q95" s="63" t="n">
        <v>1723</v>
      </c>
      <c r="R95" s="63" t="n">
        <v>4406</v>
      </c>
      <c r="S95" s="63"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59" t="n">
        <v>44.99</v>
      </c>
      <c r="H96" s="32" t="inlineStr">
        <is>
          <t>Helium 10 Xray (Amazon.ca, CAD), 2026-10-14</t>
        </is>
      </c>
      <c r="I96" s="60" t="n">
        <v>44.99</v>
      </c>
      <c r="J96" s="61" t="inlineStr">
        <is>
          <t>2026-03-30</t>
        </is>
      </c>
      <c r="K96" s="33" t="n">
        <v>18.92</v>
      </c>
      <c r="L96" s="62" t="n">
        <v>0.4205378973105134</v>
      </c>
      <c r="M96" s="63" t="n">
        <v>0</v>
      </c>
      <c r="N96" s="32" t="inlineStr">
        <is>
          <t>Active</t>
        </is>
      </c>
      <c r="O96" s="32" t="n"/>
      <c r="P96" s="64" t="n">
        <v>4.3</v>
      </c>
      <c r="Q96" s="63" t="n">
        <v>1723</v>
      </c>
      <c r="R96" s="63" t="n">
        <v>4406</v>
      </c>
      <c r="S96" s="63"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59" t="n">
        <v>44.99</v>
      </c>
      <c r="H97" s="32" t="inlineStr">
        <is>
          <t>Helium 10 Xray (Amazon.ca, CAD), 2026-10-14</t>
        </is>
      </c>
      <c r="I97" s="60" t="n">
        <v>44.99</v>
      </c>
      <c r="J97" s="61" t="inlineStr">
        <is>
          <t>2026-03-30</t>
        </is>
      </c>
      <c r="K97" s="33" t="n">
        <v>17.39</v>
      </c>
      <c r="L97" s="62" t="n">
        <v>0.3865303400755724</v>
      </c>
      <c r="M97" s="63" t="n">
        <v>0</v>
      </c>
      <c r="N97" s="32" t="inlineStr">
        <is>
          <t>Active</t>
        </is>
      </c>
      <c r="O97" s="32" t="n"/>
      <c r="P97" s="64" t="n">
        <v>4.3</v>
      </c>
      <c r="Q97" s="63" t="n">
        <v>1723</v>
      </c>
      <c r="R97" s="63" t="n">
        <v>4406</v>
      </c>
      <c r="S97" s="63"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59" t="n">
        <v>44.99</v>
      </c>
      <c r="H98" s="32" t="inlineStr">
        <is>
          <t>Helium 10 Xray (Amazon.ca, CAD), 2026-10-14</t>
        </is>
      </c>
      <c r="I98" s="60" t="n">
        <v>54.44</v>
      </c>
      <c r="J98" s="61" t="inlineStr">
        <is>
          <t>2026-03-30</t>
        </is>
      </c>
      <c r="K98" s="33" t="n">
        <v>19.94</v>
      </c>
      <c r="L98" s="62" t="n">
        <v>0.3662747979426892</v>
      </c>
      <c r="M98" s="63" t="n">
        <v>0</v>
      </c>
      <c r="N98" s="32" t="inlineStr">
        <is>
          <t>Active</t>
        </is>
      </c>
      <c r="O98" s="32" t="n"/>
      <c r="P98" s="64" t="n">
        <v>4.3</v>
      </c>
      <c r="Q98" s="63" t="n">
        <v>1723</v>
      </c>
      <c r="R98" s="63" t="n">
        <v>4406</v>
      </c>
      <c r="S98" s="63"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59" t="n">
        <v>55.27</v>
      </c>
      <c r="H99" s="32" t="inlineStr">
        <is>
          <t>Helium 10 Xray (Amazon.ca, CAD), 2026-10-14</t>
        </is>
      </c>
      <c r="I99" s="60" t="n">
        <v>55.33</v>
      </c>
      <c r="J99" s="61" t="inlineStr">
        <is>
          <t>2026-03-30</t>
        </is>
      </c>
      <c r="K99" s="33" t="n">
        <v>18.83000000000001</v>
      </c>
      <c r="L99" s="62" t="n">
        <v>0.3403217061268752</v>
      </c>
      <c r="M99" s="63" t="n">
        <v>0</v>
      </c>
      <c r="N99" s="32" t="inlineStr">
        <is>
          <t>Active</t>
        </is>
      </c>
      <c r="O99" s="32" t="n"/>
      <c r="P99" s="64" t="n">
        <v>4.3</v>
      </c>
      <c r="Q99" s="63" t="n">
        <v>1723</v>
      </c>
      <c r="R99" s="63" t="n">
        <v>4406</v>
      </c>
      <c r="S99" s="63"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59" t="n">
        <v>55.27</v>
      </c>
      <c r="H100" s="32" t="inlineStr">
        <is>
          <t>Helium 10 Xray (Amazon.ca, CAD), 2026-10-14</t>
        </is>
      </c>
      <c r="I100" s="60" t="n">
        <v>55.55</v>
      </c>
      <c r="J100" s="61" t="inlineStr">
        <is>
          <t>2026-03-30</t>
        </is>
      </c>
      <c r="K100" s="33" t="n">
        <v>19.02</v>
      </c>
      <c r="L100" s="62" t="n">
        <v>0.3423942394239425</v>
      </c>
      <c r="M100" s="63" t="n">
        <v>0</v>
      </c>
      <c r="N100" s="32" t="inlineStr">
        <is>
          <t>Active</t>
        </is>
      </c>
      <c r="O100" s="32" t="n"/>
      <c r="P100" s="64" t="n">
        <v>4.3</v>
      </c>
      <c r="Q100" s="63" t="n">
        <v>1723</v>
      </c>
      <c r="R100" s="63" t="n">
        <v>4406</v>
      </c>
      <c r="S100" s="63"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59" t="n">
        <v>44.99</v>
      </c>
      <c r="H101" s="32" t="inlineStr">
        <is>
          <t>Helium 10 Xray (Amazon.ca, CAD), 2026-10-14</t>
        </is>
      </c>
      <c r="I101" s="60" t="n">
        <v>44.99</v>
      </c>
      <c r="J101" s="61" t="inlineStr">
        <is>
          <t>2026-03-30</t>
        </is>
      </c>
      <c r="K101" s="33" t="n">
        <v>16.43</v>
      </c>
      <c r="L101" s="62" t="n">
        <v>0.3651922649477661</v>
      </c>
      <c r="M101" s="63" t="n">
        <v>0</v>
      </c>
      <c r="N101" s="32" t="inlineStr">
        <is>
          <t>Active</t>
        </is>
      </c>
      <c r="O101" s="32" t="n"/>
      <c r="P101" s="64" t="n">
        <v>4.3</v>
      </c>
      <c r="Q101" s="63" t="n">
        <v>1723</v>
      </c>
      <c r="R101" s="63" t="n">
        <v>4406</v>
      </c>
      <c r="S101" s="63"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0" t="n">
        <v>55.33</v>
      </c>
      <c r="J102" s="61" t="inlineStr">
        <is>
          <t>2026-03-30</t>
        </is>
      </c>
      <c r="K102" s="33" t="n">
        <v>18.5</v>
      </c>
      <c r="L102" s="62" t="n">
        <v>0.3343574914151455</v>
      </c>
      <c r="M102" s="63" t="n"/>
      <c r="N102" s="32" t="inlineStr">
        <is>
          <t>Inactive</t>
        </is>
      </c>
      <c r="O102" s="32" t="n"/>
      <c r="P102" s="64" t="n"/>
      <c r="Q102" s="63" t="n"/>
      <c r="R102" s="63" t="n"/>
      <c r="S102" s="63"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59" t="n">
        <v>44.99</v>
      </c>
      <c r="H103" s="32" t="inlineStr">
        <is>
          <t>Helium 10 Xray (Amazon.ca, CAD), 2026-10-14</t>
        </is>
      </c>
      <c r="I103" s="60" t="n">
        <v>44.99</v>
      </c>
      <c r="J103" s="61" t="inlineStr">
        <is>
          <t>2026-03-30</t>
        </is>
      </c>
      <c r="K103" s="33" t="n">
        <v>16.07</v>
      </c>
      <c r="L103" s="62" t="n">
        <v>0.357190486774839</v>
      </c>
      <c r="M103" s="63" t="n">
        <v>0</v>
      </c>
      <c r="N103" s="32" t="inlineStr">
        <is>
          <t>Active</t>
        </is>
      </c>
      <c r="O103" s="32" t="n"/>
      <c r="P103" s="64" t="n">
        <v>4.3</v>
      </c>
      <c r="Q103" s="63" t="n">
        <v>1723</v>
      </c>
      <c r="R103" s="63" t="n">
        <v>4406</v>
      </c>
      <c r="S103" s="63"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59" t="n">
        <v>44.99</v>
      </c>
      <c r="H104" s="32" t="inlineStr">
        <is>
          <t>Helium 10 Xray (Amazon.ca, CAD), 2026-10-14</t>
        </is>
      </c>
      <c r="I104" s="60" t="n">
        <v>44.99</v>
      </c>
      <c r="J104" s="61" t="inlineStr">
        <is>
          <t>2026-03-30</t>
        </is>
      </c>
      <c r="K104" s="33" t="n">
        <v>17.32</v>
      </c>
      <c r="L104" s="62" t="n">
        <v>0.3849744387641698</v>
      </c>
      <c r="M104" s="63" t="n">
        <v>0</v>
      </c>
      <c r="N104" s="32" t="inlineStr">
        <is>
          <t>Active</t>
        </is>
      </c>
      <c r="O104" s="32" t="n"/>
      <c r="P104" s="64" t="n">
        <v>4.3</v>
      </c>
      <c r="Q104" s="63" t="n">
        <v>1723</v>
      </c>
      <c r="R104" s="63" t="n">
        <v>4406</v>
      </c>
      <c r="S104" s="63"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59" t="n">
        <v>55.27</v>
      </c>
      <c r="H105" s="32" t="inlineStr">
        <is>
          <t>Helium 10 Xray (Amazon.ca, CAD), 2026-10-14</t>
        </is>
      </c>
      <c r="I105" s="60" t="n">
        <v>44.99</v>
      </c>
      <c r="J105" s="61" t="inlineStr">
        <is>
          <t>2026-03-30</t>
        </is>
      </c>
      <c r="K105" s="33" t="n">
        <v>17.83</v>
      </c>
      <c r="L105" s="62" t="n">
        <v>0.3963102911758169</v>
      </c>
      <c r="M105" s="63" t="n">
        <v>0</v>
      </c>
      <c r="N105" s="32" t="inlineStr">
        <is>
          <t>Active</t>
        </is>
      </c>
      <c r="O105" s="32" t="n"/>
      <c r="P105" s="64" t="n">
        <v>4.3</v>
      </c>
      <c r="Q105" s="63" t="n">
        <v>1723</v>
      </c>
      <c r="R105" s="63" t="n">
        <v>4406</v>
      </c>
      <c r="S105" s="63"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0" t="n">
        <v>44.99</v>
      </c>
      <c r="J106" s="61" t="inlineStr">
        <is>
          <t>2026-03-12</t>
        </is>
      </c>
      <c r="K106" s="33" t="n">
        <v>17.5649</v>
      </c>
      <c r="L106" s="62" t="n">
        <v>0.3904178706379196</v>
      </c>
      <c r="M106" s="63" t="n"/>
      <c r="N106" s="32" t="inlineStr">
        <is>
          <t>Inactive</t>
        </is>
      </c>
      <c r="O106" s="32" t="n"/>
      <c r="P106" s="64" t="n"/>
      <c r="Q106" s="63" t="n"/>
      <c r="R106" s="63" t="n"/>
      <c r="S106" s="63"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59" t="n">
        <v>49.99</v>
      </c>
      <c r="H107" s="32" t="inlineStr">
        <is>
          <t>Helium 10 Xray (Amazon.ca, CAD), 2026-10-14</t>
        </is>
      </c>
      <c r="I107" s="60" t="n">
        <v>49.99</v>
      </c>
      <c r="J107" s="61" t="inlineStr">
        <is>
          <t>2026-03-30</t>
        </is>
      </c>
      <c r="K107" s="33" t="n">
        <v>19.49</v>
      </c>
      <c r="L107" s="62" t="n">
        <v>0.3898779755951191</v>
      </c>
      <c r="M107" s="63" t="n">
        <v>0</v>
      </c>
      <c r="N107" s="32" t="inlineStr">
        <is>
          <t>Active</t>
        </is>
      </c>
      <c r="O107" s="32" t="n"/>
      <c r="P107" s="64" t="n">
        <v>4.3</v>
      </c>
      <c r="Q107" s="63" t="n">
        <v>1723</v>
      </c>
      <c r="R107" s="63" t="n">
        <v>4406</v>
      </c>
      <c r="S107" s="63"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0" t="n">
        <v>62.82</v>
      </c>
      <c r="J108" s="61" t="inlineStr">
        <is>
          <t>2026-03-26</t>
        </is>
      </c>
      <c r="K108" s="33" t="n">
        <v>30.50999999999999</v>
      </c>
      <c r="L108" s="62" t="n">
        <v>0.4856733524355301</v>
      </c>
      <c r="M108" s="63" t="n"/>
      <c r="N108" s="32" t="inlineStr">
        <is>
          <t>Inactive</t>
        </is>
      </c>
      <c r="O108" s="32" t="n"/>
      <c r="P108" s="64" t="n"/>
      <c r="Q108" s="63" t="n"/>
      <c r="R108" s="63" t="n"/>
      <c r="S108" s="63"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0" t="n">
        <v>49.99</v>
      </c>
      <c r="J109" s="61" t="inlineStr">
        <is>
          <t>2026-03-30</t>
        </is>
      </c>
      <c r="K109" s="33" t="n">
        <v>17.47</v>
      </c>
      <c r="L109" s="62" t="n">
        <v>0.3494698939787957</v>
      </c>
      <c r="M109" s="63" t="n"/>
      <c r="N109" s="32" t="inlineStr">
        <is>
          <t>Inactive</t>
        </is>
      </c>
      <c r="O109" s="32" t="n"/>
      <c r="P109" s="64" t="n"/>
      <c r="Q109" s="63" t="n"/>
      <c r="R109" s="63" t="n"/>
      <c r="S109" s="63"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0" t="n">
        <v>49.99</v>
      </c>
      <c r="J110" s="61" t="inlineStr">
        <is>
          <t>2026-03-30</t>
        </is>
      </c>
      <c r="K110" s="33" t="n">
        <v>17.47</v>
      </c>
      <c r="L110" s="62" t="n">
        <v>0.3494698939787957</v>
      </c>
      <c r="M110" s="63" t="n"/>
      <c r="N110" s="32" t="inlineStr">
        <is>
          <t>Inactive</t>
        </is>
      </c>
      <c r="O110" s="32" t="n"/>
      <c r="P110" s="64" t="n"/>
      <c r="Q110" s="63" t="n"/>
      <c r="R110" s="63" t="n"/>
      <c r="S110" s="63"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59" t="n">
        <v>61.41</v>
      </c>
      <c r="H111" s="32" t="inlineStr">
        <is>
          <t>Helium 10 Xray (Amazon.ca, CAD), 2026-10-14</t>
        </is>
      </c>
      <c r="I111" s="60" t="n">
        <v>49.99</v>
      </c>
      <c r="J111" s="61" t="inlineStr">
        <is>
          <t>2026-03-30</t>
        </is>
      </c>
      <c r="K111" s="33" t="n">
        <v>17.96</v>
      </c>
      <c r="L111" s="62" t="n">
        <v>0.3592718543708742</v>
      </c>
      <c r="M111" s="63" t="n"/>
      <c r="N111" s="32" t="inlineStr">
        <is>
          <t>Inactive</t>
        </is>
      </c>
      <c r="O111" s="32" t="n"/>
      <c r="P111" s="64" t="n">
        <v>4.3</v>
      </c>
      <c r="Q111" s="63" t="n">
        <v>1723</v>
      </c>
      <c r="R111" s="63" t="n">
        <v>4406</v>
      </c>
      <c r="S111" s="63"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59" t="n">
        <v>47.99</v>
      </c>
      <c r="H112" s="32" t="inlineStr">
        <is>
          <t>Helium 10 Xray (Amazon.ca, CAD), 2026-10-14</t>
        </is>
      </c>
      <c r="I112" s="60" t="n">
        <v>59.54</v>
      </c>
      <c r="J112" s="61" t="inlineStr">
        <is>
          <t>2026-03-30</t>
        </is>
      </c>
      <c r="K112" s="33" t="n">
        <v>22.54000000000001</v>
      </c>
      <c r="L112" s="62" t="n">
        <v>0.3785690292240512</v>
      </c>
      <c r="M112" s="63" t="n">
        <v>0</v>
      </c>
      <c r="N112" s="32" t="inlineStr">
        <is>
          <t>Active</t>
        </is>
      </c>
      <c r="O112" s="32" t="n"/>
      <c r="P112" s="64" t="n">
        <v>4.3</v>
      </c>
      <c r="Q112" s="63" t="n">
        <v>1723</v>
      </c>
      <c r="R112" s="63" t="n">
        <v>4406</v>
      </c>
      <c r="S112" s="63"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59" t="n">
        <v>47.99</v>
      </c>
      <c r="H113" s="32" t="inlineStr">
        <is>
          <t>Helium 10 Xray (Amazon.ca, CAD), 2026-10-14</t>
        </is>
      </c>
      <c r="I113" s="60" t="n">
        <v>47.99</v>
      </c>
      <c r="J113" s="61" t="inlineStr">
        <is>
          <t>2026-03-30</t>
        </is>
      </c>
      <c r="K113" s="33" t="n">
        <v>19.88</v>
      </c>
      <c r="L113" s="62" t="n">
        <v>0.4142529693686183</v>
      </c>
      <c r="M113" s="63" t="n">
        <v>0</v>
      </c>
      <c r="N113" s="32" t="inlineStr">
        <is>
          <t>Active</t>
        </is>
      </c>
      <c r="O113" s="32" t="n"/>
      <c r="P113" s="64" t="n">
        <v>4.3</v>
      </c>
      <c r="Q113" s="63" t="n">
        <v>1723</v>
      </c>
      <c r="R113" s="63" t="n">
        <v>4406</v>
      </c>
      <c r="S113" s="63"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59" t="n">
        <v>58.96</v>
      </c>
      <c r="H114" s="32" t="inlineStr">
        <is>
          <t>Helium 10 Xray (Amazon.ca, CAD), 2026-10-14</t>
        </is>
      </c>
      <c r="I114" s="60" t="n">
        <v>47.99</v>
      </c>
      <c r="J114" s="61" t="inlineStr">
        <is>
          <t>2026-03-30</t>
        </is>
      </c>
      <c r="K114" s="33" t="n">
        <v>17.43</v>
      </c>
      <c r="L114" s="62" t="n">
        <v>0.3632006668055845</v>
      </c>
      <c r="M114" s="63" t="n">
        <v>0</v>
      </c>
      <c r="N114" s="32" t="inlineStr">
        <is>
          <t>Active</t>
        </is>
      </c>
      <c r="O114" s="32" t="n"/>
      <c r="P114" s="64" t="n">
        <v>4.3</v>
      </c>
      <c r="Q114" s="63" t="n">
        <v>1723</v>
      </c>
      <c r="R114" s="63" t="n">
        <v>4406</v>
      </c>
      <c r="S114" s="63"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59" t="n">
        <v>58.96</v>
      </c>
      <c r="H115" s="32" t="inlineStr">
        <is>
          <t>Helium 10 Xray (Amazon.ca, CAD), 2026-10-14</t>
        </is>
      </c>
      <c r="I115" s="60" t="n">
        <v>47.99</v>
      </c>
      <c r="J115" s="61" t="inlineStr">
        <is>
          <t>2026-03-30</t>
        </is>
      </c>
      <c r="K115" s="33" t="n">
        <v>18.19</v>
      </c>
      <c r="L115" s="62" t="n">
        <v>0.3790372994373827</v>
      </c>
      <c r="M115" s="63" t="n">
        <v>0</v>
      </c>
      <c r="N115" s="32" t="inlineStr">
        <is>
          <t>Active</t>
        </is>
      </c>
      <c r="O115" s="32" t="n"/>
      <c r="P115" s="64" t="n">
        <v>4.3</v>
      </c>
      <c r="Q115" s="63" t="n">
        <v>1723</v>
      </c>
      <c r="R115" s="63" t="n">
        <v>4406</v>
      </c>
      <c r="S115" s="63"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59" t="n">
        <v>47.99</v>
      </c>
      <c r="H116" s="32" t="inlineStr">
        <is>
          <t>Helium 10 Xray (Amazon.ca, CAD), 2026-10-14</t>
        </is>
      </c>
      <c r="I116" s="60" t="n">
        <v>47.99</v>
      </c>
      <c r="J116" s="61" t="inlineStr">
        <is>
          <t>2026-03-30</t>
        </is>
      </c>
      <c r="K116" s="33" t="n">
        <v>18.79</v>
      </c>
      <c r="L116" s="62" t="n">
        <v>0.3915399041466972</v>
      </c>
      <c r="M116" s="63" t="n">
        <v>0</v>
      </c>
      <c r="N116" s="32" t="inlineStr">
        <is>
          <t>Active</t>
        </is>
      </c>
      <c r="O116" s="32" t="n"/>
      <c r="P116" s="64" t="n">
        <v>4.3</v>
      </c>
      <c r="Q116" s="63" t="n">
        <v>1723</v>
      </c>
      <c r="R116" s="63" t="n">
        <v>4406</v>
      </c>
      <c r="S116" s="63"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2" t="n"/>
      <c r="M117" s="63" t="n"/>
      <c r="N117" s="32" t="inlineStr">
        <is>
          <t>Active</t>
        </is>
      </c>
      <c r="O117" s="32" t="n"/>
      <c r="P117" s="64" t="n">
        <v>4.3</v>
      </c>
      <c r="Q117" s="63" t="n">
        <v>1723</v>
      </c>
      <c r="R117" s="63" t="n">
        <v>4406</v>
      </c>
      <c r="S117" s="63"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2" t="n"/>
      <c r="M118" s="63" t="n"/>
      <c r="N118" s="32" t="inlineStr">
        <is>
          <t>Inactive</t>
        </is>
      </c>
      <c r="O118" s="32" t="n"/>
      <c r="P118" s="64" t="n"/>
      <c r="Q118" s="63" t="n"/>
      <c r="R118" s="63" t="n"/>
      <c r="S118" s="63"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59" t="n">
        <v>39.99</v>
      </c>
      <c r="H119" s="32" t="inlineStr">
        <is>
          <t>Helium 10 Xray (Amazon.ca, CAD), 2026-10-14</t>
        </is>
      </c>
      <c r="I119" s="60" t="n">
        <v>39.99</v>
      </c>
      <c r="J119" s="61" t="inlineStr">
        <is>
          <t>2026-03-30</t>
        </is>
      </c>
      <c r="K119" s="33" t="n">
        <v>15.85</v>
      </c>
      <c r="L119" s="62" t="n">
        <v>0.3963490872718179</v>
      </c>
      <c r="M119" s="63" t="n">
        <v>0</v>
      </c>
      <c r="N119" s="32" t="inlineStr">
        <is>
          <t>Active</t>
        </is>
      </c>
      <c r="O119" s="32" t="n"/>
      <c r="P119" s="64" t="n">
        <v>4.3</v>
      </c>
      <c r="Q119" s="63" t="n">
        <v>1723</v>
      </c>
      <c r="R119" s="63" t="n">
        <v>4406</v>
      </c>
      <c r="S119" s="63"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59" t="n">
        <v>39.99</v>
      </c>
      <c r="H120" s="32" t="inlineStr">
        <is>
          <t>Helium 10 Xray (Amazon.ca, CAD), 2026-10-14</t>
        </is>
      </c>
      <c r="I120" s="33" t="n"/>
      <c r="J120" s="32" t="n"/>
      <c r="K120" s="33" t="n"/>
      <c r="L120" s="62" t="n"/>
      <c r="M120" s="63" t="n"/>
      <c r="N120" s="32" t="inlineStr">
        <is>
          <t>Active</t>
        </is>
      </c>
      <c r="O120" s="32" t="n"/>
      <c r="P120" s="64" t="n">
        <v>4.3</v>
      </c>
      <c r="Q120" s="63" t="n">
        <v>1723</v>
      </c>
      <c r="R120" s="63" t="n">
        <v>4406</v>
      </c>
      <c r="S120" s="63"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59" t="n">
        <v>39.99</v>
      </c>
      <c r="H121" s="32" t="inlineStr">
        <is>
          <t>Helium 10 Xray (Amazon.ca, CAD), 2026-10-14</t>
        </is>
      </c>
      <c r="I121" s="33" t="n"/>
      <c r="J121" s="32" t="n"/>
      <c r="K121" s="33" t="n"/>
      <c r="L121" s="62" t="n"/>
      <c r="M121" s="63" t="n"/>
      <c r="N121" s="32" t="inlineStr">
        <is>
          <t>Active</t>
        </is>
      </c>
      <c r="O121" s="32" t="n"/>
      <c r="P121" s="64" t="n">
        <v>4.3</v>
      </c>
      <c r="Q121" s="63" t="n">
        <v>1723</v>
      </c>
      <c r="R121" s="63" t="n">
        <v>4406</v>
      </c>
      <c r="S121" s="63"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59" t="n">
        <v>39.99</v>
      </c>
      <c r="H122" s="32" t="inlineStr">
        <is>
          <t>Helium 10 Xray (Amazon.ca, CAD), 2026-10-14</t>
        </is>
      </c>
      <c r="I122" s="60" t="n">
        <v>39.99</v>
      </c>
      <c r="J122" s="61" t="inlineStr">
        <is>
          <t>2026-03-30</t>
        </is>
      </c>
      <c r="K122" s="33" t="n">
        <v>15.45</v>
      </c>
      <c r="L122" s="62" t="n">
        <v>0.3863465866466617</v>
      </c>
      <c r="M122" s="63" t="n">
        <v>0</v>
      </c>
      <c r="N122" s="32" t="inlineStr">
        <is>
          <t>Active</t>
        </is>
      </c>
      <c r="O122" s="32" t="n"/>
      <c r="P122" s="64" t="n">
        <v>4.3</v>
      </c>
      <c r="Q122" s="63" t="n">
        <v>1723</v>
      </c>
      <c r="R122" s="63" t="n">
        <v>4406</v>
      </c>
      <c r="S122" s="63"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59" t="n">
        <v>39.99</v>
      </c>
      <c r="H123" s="32" t="inlineStr">
        <is>
          <t>Helium 10 Xray (Amazon.ca, CAD), 2026-10-14</t>
        </is>
      </c>
      <c r="I123" s="33" t="n"/>
      <c r="J123" s="32" t="n"/>
      <c r="K123" s="33" t="n"/>
      <c r="L123" s="62" t="n"/>
      <c r="M123" s="63" t="n"/>
      <c r="N123" s="32" t="inlineStr">
        <is>
          <t>Active</t>
        </is>
      </c>
      <c r="O123" s="32" t="n"/>
      <c r="P123" s="64" t="n">
        <v>4.3</v>
      </c>
      <c r="Q123" s="63" t="n">
        <v>1723</v>
      </c>
      <c r="R123" s="63" t="n">
        <v>4406</v>
      </c>
      <c r="S123" s="63"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59" t="n">
        <v>39.99</v>
      </c>
      <c r="H124" s="32" t="inlineStr">
        <is>
          <t>Helium 10 Xray (Amazon.ca, CAD), 2026-10-14</t>
        </is>
      </c>
      <c r="I124" s="60" t="n">
        <v>39.99</v>
      </c>
      <c r="J124" s="61" t="inlineStr">
        <is>
          <t>2026-03-30</t>
        </is>
      </c>
      <c r="K124" s="33" t="n">
        <v>16.27</v>
      </c>
      <c r="L124" s="62" t="n">
        <v>0.4068517129282321</v>
      </c>
      <c r="M124" s="63" t="n">
        <v>0</v>
      </c>
      <c r="N124" s="32" t="inlineStr">
        <is>
          <t>Active</t>
        </is>
      </c>
      <c r="O124" s="32" t="n"/>
      <c r="P124" s="64" t="n">
        <v>4.3</v>
      </c>
      <c r="Q124" s="63" t="n">
        <v>1723</v>
      </c>
      <c r="R124" s="63" t="n">
        <v>4406</v>
      </c>
      <c r="S124" s="63"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59" t="n">
        <v>39.99</v>
      </c>
      <c r="H125" s="32" t="inlineStr">
        <is>
          <t>Helium 10 Xray (Amazon.ca, CAD), 2026-10-14</t>
        </is>
      </c>
      <c r="I125" s="33" t="n"/>
      <c r="J125" s="32" t="n"/>
      <c r="K125" s="33" t="n"/>
      <c r="L125" s="62" t="n"/>
      <c r="M125" s="63" t="n"/>
      <c r="N125" s="32" t="inlineStr">
        <is>
          <t>Active</t>
        </is>
      </c>
      <c r="O125" s="32" t="n"/>
      <c r="P125" s="64" t="n">
        <v>4.3</v>
      </c>
      <c r="Q125" s="63" t="n">
        <v>1723</v>
      </c>
      <c r="R125" s="63" t="n">
        <v>4406</v>
      </c>
      <c r="S125" s="63"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59" t="n">
        <v>39.99</v>
      </c>
      <c r="H126" s="32" t="inlineStr">
        <is>
          <t>Helium 10 Xray (Amazon.ca, CAD), 2026-10-14</t>
        </is>
      </c>
      <c r="I126" s="33" t="n"/>
      <c r="J126" s="32" t="n"/>
      <c r="K126" s="33" t="n"/>
      <c r="L126" s="62" t="n"/>
      <c r="M126" s="63" t="n"/>
      <c r="N126" s="32" t="inlineStr">
        <is>
          <t>Active</t>
        </is>
      </c>
      <c r="O126" s="32" t="n"/>
      <c r="P126" s="64" t="n">
        <v>4.3</v>
      </c>
      <c r="Q126" s="63" t="n">
        <v>1723</v>
      </c>
      <c r="R126" s="63" t="n">
        <v>4406</v>
      </c>
      <c r="S126" s="63"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59" t="n">
        <v>49.13</v>
      </c>
      <c r="H127" s="32" t="inlineStr">
        <is>
          <t>Helium 10 Xray (Amazon.ca, CAD), 2026-10-14</t>
        </is>
      </c>
      <c r="I127" s="60" t="n">
        <v>39.99</v>
      </c>
      <c r="J127" s="61" t="inlineStr">
        <is>
          <t>2026-03-30</t>
        </is>
      </c>
      <c r="K127" s="33" t="n">
        <v>16.09</v>
      </c>
      <c r="L127" s="62" t="n">
        <v>0.4023505876469117</v>
      </c>
      <c r="M127" s="63" t="n">
        <v>0</v>
      </c>
      <c r="N127" s="32" t="inlineStr">
        <is>
          <t>Active</t>
        </is>
      </c>
      <c r="O127" s="32" t="n"/>
      <c r="P127" s="64" t="n">
        <v>4.3</v>
      </c>
      <c r="Q127" s="63" t="n">
        <v>1723</v>
      </c>
      <c r="R127" s="63" t="n">
        <v>4406</v>
      </c>
      <c r="S127" s="63"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59" t="n">
        <v>49.13</v>
      </c>
      <c r="H128" s="32" t="inlineStr">
        <is>
          <t>Helium 10 Xray (Amazon.ca, CAD), 2026-10-14</t>
        </is>
      </c>
      <c r="I128" s="33" t="n"/>
      <c r="J128" s="32" t="n"/>
      <c r="K128" s="33" t="n"/>
      <c r="L128" s="62" t="n"/>
      <c r="M128" s="63" t="n"/>
      <c r="N128" s="32" t="inlineStr">
        <is>
          <t>Active</t>
        </is>
      </c>
      <c r="O128" s="32" t="n"/>
      <c r="P128" s="64" t="n">
        <v>4.3</v>
      </c>
      <c r="Q128" s="63" t="n">
        <v>1723</v>
      </c>
      <c r="R128" s="63" t="n">
        <v>4406</v>
      </c>
      <c r="S128" s="63"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59" t="n">
        <v>49.13</v>
      </c>
      <c r="H129" s="32" t="inlineStr">
        <is>
          <t>Helium 10 Xray (Amazon.ca, CAD), 2026-10-14</t>
        </is>
      </c>
      <c r="I129" s="60" t="n">
        <v>39.99</v>
      </c>
      <c r="J129" s="61" t="inlineStr">
        <is>
          <t>2026-03-30</t>
        </is>
      </c>
      <c r="K129" s="33" t="n">
        <v>16.97</v>
      </c>
      <c r="L129" s="62" t="n">
        <v>0.4243560890222555</v>
      </c>
      <c r="M129" s="63" t="n">
        <v>0</v>
      </c>
      <c r="N129" s="32" t="inlineStr">
        <is>
          <t>Active</t>
        </is>
      </c>
      <c r="O129" s="32" t="n"/>
      <c r="P129" s="64" t="n">
        <v>4.3</v>
      </c>
      <c r="Q129" s="63" t="n">
        <v>1723</v>
      </c>
      <c r="R129" s="63" t="n">
        <v>4406</v>
      </c>
      <c r="S129" s="63"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59" t="n">
        <v>39.99</v>
      </c>
      <c r="H130" s="32" t="inlineStr">
        <is>
          <t>Helium 10 Xray (Amazon.ca, CAD), 2026-10-14</t>
        </is>
      </c>
      <c r="I130" s="60" t="n">
        <v>39.99</v>
      </c>
      <c r="J130" s="61" t="inlineStr">
        <is>
          <t>2026-03-30</t>
        </is>
      </c>
      <c r="K130" s="33" t="n">
        <v>16.97</v>
      </c>
      <c r="L130" s="62" t="n">
        <v>0.4243560890222555</v>
      </c>
      <c r="M130" s="63" t="n">
        <v>0</v>
      </c>
      <c r="N130" s="32" t="inlineStr">
        <is>
          <t>Active</t>
        </is>
      </c>
      <c r="O130" s="32" t="n"/>
      <c r="P130" s="64" t="n">
        <v>4.3</v>
      </c>
      <c r="Q130" s="63" t="n">
        <v>1723</v>
      </c>
      <c r="R130" s="63" t="n">
        <v>4406</v>
      </c>
      <c r="S130" s="63"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59" t="n">
        <v>49.13</v>
      </c>
      <c r="H131" s="32" t="inlineStr">
        <is>
          <t>Helium 10 Xray (Amazon.ca, CAD), 2026-10-14</t>
        </is>
      </c>
      <c r="I131" s="60" t="n">
        <v>48.39</v>
      </c>
      <c r="J131" s="61" t="inlineStr">
        <is>
          <t>2026-03-30</t>
        </is>
      </c>
      <c r="K131" s="33" t="n">
        <v>16.25</v>
      </c>
      <c r="L131" s="62" t="n">
        <v>0.3358131845422608</v>
      </c>
      <c r="M131" s="63" t="n">
        <v>0</v>
      </c>
      <c r="N131" s="32" t="inlineStr">
        <is>
          <t>Active</t>
        </is>
      </c>
      <c r="O131" s="32" t="n"/>
      <c r="P131" s="64" t="n">
        <v>4.3</v>
      </c>
      <c r="Q131" s="63" t="n">
        <v>1723</v>
      </c>
      <c r="R131" s="63" t="n">
        <v>4406</v>
      </c>
      <c r="S131" s="63"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59" t="n">
        <v>39.99</v>
      </c>
      <c r="H132" s="32" t="inlineStr">
        <is>
          <t>Helium 10 Xray (Amazon.ca, CAD), 2026-10-14</t>
        </is>
      </c>
      <c r="I132" s="60" t="n">
        <v>39.99</v>
      </c>
      <c r="J132" s="61" t="inlineStr">
        <is>
          <t>2026-03-30</t>
        </is>
      </c>
      <c r="K132" s="33" t="n">
        <v>16.16</v>
      </c>
      <c r="L132" s="62" t="n">
        <v>0.4041010252563141</v>
      </c>
      <c r="M132" s="63" t="n">
        <v>0</v>
      </c>
      <c r="N132" s="32" t="inlineStr">
        <is>
          <t>Active</t>
        </is>
      </c>
      <c r="O132" s="32" t="n"/>
      <c r="P132" s="64" t="n">
        <v>4.3</v>
      </c>
      <c r="Q132" s="63" t="n">
        <v>1723</v>
      </c>
      <c r="R132" s="63" t="n">
        <v>4406</v>
      </c>
      <c r="S132" s="63"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59" t="n">
        <v>39.99</v>
      </c>
      <c r="H133" s="32" t="inlineStr">
        <is>
          <t>Helium 10 Xray (Amazon.ca, CAD), 2026-10-14</t>
        </is>
      </c>
      <c r="I133" s="60" t="n">
        <v>39.99</v>
      </c>
      <c r="J133" s="61" t="inlineStr">
        <is>
          <t>2026-03-30</t>
        </is>
      </c>
      <c r="K133" s="33" t="n">
        <v>15.25</v>
      </c>
      <c r="L133" s="62" t="n">
        <v>0.3813453363340835</v>
      </c>
      <c r="M133" s="63" t="n">
        <v>0</v>
      </c>
      <c r="N133" s="32" t="inlineStr">
        <is>
          <t>Active</t>
        </is>
      </c>
      <c r="O133" s="32" t="n"/>
      <c r="P133" s="64" t="n">
        <v>4.3</v>
      </c>
      <c r="Q133" s="63" t="n">
        <v>1723</v>
      </c>
      <c r="R133" s="63" t="n">
        <v>4406</v>
      </c>
      <c r="S133" s="63"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59" t="n">
        <v>39.99</v>
      </c>
      <c r="H134" s="32" t="inlineStr">
        <is>
          <t>Helium 10 Xray (Amazon.ca, CAD), 2026-10-14</t>
        </is>
      </c>
      <c r="I134" s="60" t="n">
        <v>39.99</v>
      </c>
      <c r="J134" s="61" t="inlineStr">
        <is>
          <t>2026-03-30</t>
        </is>
      </c>
      <c r="K134" s="33" t="n">
        <v>15.89</v>
      </c>
      <c r="L134" s="62" t="n">
        <v>0.3973493373343336</v>
      </c>
      <c r="M134" s="63" t="n">
        <v>0</v>
      </c>
      <c r="N134" s="32" t="inlineStr">
        <is>
          <t>Active</t>
        </is>
      </c>
      <c r="O134" s="32" t="n"/>
      <c r="P134" s="64" t="n">
        <v>4.3</v>
      </c>
      <c r="Q134" s="63" t="n">
        <v>1723</v>
      </c>
      <c r="R134" s="63" t="n">
        <v>4406</v>
      </c>
      <c r="S134" s="63"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59" t="n">
        <v>49.13</v>
      </c>
      <c r="H135" s="32" t="inlineStr">
        <is>
          <t>Helium 10 Xray (Amazon.ca, CAD), 2026-10-14</t>
        </is>
      </c>
      <c r="I135" s="60" t="n">
        <v>39.99</v>
      </c>
      <c r="J135" s="61" t="inlineStr">
        <is>
          <t>2026-03-30</t>
        </is>
      </c>
      <c r="K135" s="33" t="n">
        <v>15.19</v>
      </c>
      <c r="L135" s="62" t="n">
        <v>0.3798449612403101</v>
      </c>
      <c r="M135" s="63" t="n">
        <v>0</v>
      </c>
      <c r="N135" s="32" t="inlineStr">
        <is>
          <t>Active</t>
        </is>
      </c>
      <c r="O135" s="32" t="n"/>
      <c r="P135" s="64" t="n">
        <v>4.3</v>
      </c>
      <c r="Q135" s="63" t="n">
        <v>1723</v>
      </c>
      <c r="R135" s="63" t="n">
        <v>4406</v>
      </c>
      <c r="S135" s="63" t="n">
        <v>8</v>
      </c>
      <c r="T135" s="32" t="n"/>
    </row>
    <row r="137" ht="20" customHeight="1">
      <c r="A137" s="53" t="inlineStr">
        <is>
          <t>3 · OUR BFCM 2025 RESULT &amp; EVENT VISIBILITY</t>
        </is>
      </c>
    </row>
    <row r="138">
      <c r="A138" s="66" t="inlineStr">
        <is>
          <t>Window</t>
        </is>
      </c>
      <c r="B138" s="67" t="n"/>
      <c r="C138" s="68" t="n"/>
      <c r="D138" s="66" t="inlineStr">
        <is>
          <t>Ad spend</t>
        </is>
      </c>
      <c r="E138" s="66" t="inlineStr">
        <is>
          <t>Ad sales</t>
        </is>
      </c>
      <c r="F138" s="66" t="inlineStr">
        <is>
          <t>ACoS</t>
        </is>
      </c>
      <c r="G138" s="66" t="inlineStr">
        <is>
          <t>TACoS</t>
        </is>
      </c>
      <c r="H138" s="66" t="inlineStr">
        <is>
          <t>Total sales (derived)</t>
        </is>
      </c>
      <c r="J138" s="66" t="inlineStr">
        <is>
          <t>Ad orders</t>
        </is>
      </c>
      <c r="K138" s="66" t="inlineStr">
        <is>
          <t>CVR</t>
        </is>
      </c>
    </row>
    <row r="139">
      <c r="A139" s="69" t="inlineStr">
        <is>
          <t>Pre-event Oct 21 - Nov 19, 2025 (30d)</t>
        </is>
      </c>
      <c r="B139" s="67" t="n"/>
      <c r="C139" s="68" t="n"/>
      <c r="D139" s="70" t="n">
        <v>5846.89</v>
      </c>
      <c r="E139" s="70" t="n">
        <v>24013.96</v>
      </c>
      <c r="F139" s="71" t="n">
        <v>24.3</v>
      </c>
      <c r="G139" s="71" t="n">
        <v>16.80445989041688</v>
      </c>
      <c r="H139" s="70" t="n">
        <v>34793.68</v>
      </c>
      <c r="J139" s="72" t="n">
        <v>634</v>
      </c>
      <c r="K139" s="73" t="n">
        <v>12.29</v>
      </c>
    </row>
    <row r="140">
      <c r="A140" s="69" t="inlineStr">
        <is>
          <t>BFCM week Nov 20 - Dec 1, 2025 (12d)</t>
        </is>
      </c>
      <c r="B140" s="67" t="n"/>
      <c r="C140" s="68" t="n"/>
      <c r="D140" s="70" t="n">
        <v>5517.679999999999</v>
      </c>
      <c r="E140" s="70" t="n">
        <v>28935.21</v>
      </c>
      <c r="F140" s="71" t="n">
        <v>19.1</v>
      </c>
      <c r="G140" s="71" t="n">
        <v>13.50115077192009</v>
      </c>
      <c r="H140" s="70" t="n">
        <v>40868.22</v>
      </c>
      <c r="J140" s="72" t="n">
        <v>817</v>
      </c>
      <c r="K140" s="73" t="n">
        <v>16.75</v>
      </c>
    </row>
    <row r="141">
      <c r="A141" s="69" t="inlineStr">
        <is>
          <t>December 2 - 31, 2025 (30d)</t>
        </is>
      </c>
      <c r="B141" s="67" t="n"/>
      <c r="C141" s="68" t="n"/>
      <c r="D141" s="70" t="n">
        <v>10557.18</v>
      </c>
      <c r="E141" s="70" t="n">
        <v>48107.69999999999</v>
      </c>
      <c r="F141" s="71" t="n">
        <v>21.9</v>
      </c>
      <c r="G141" s="71" t="n">
        <v>16.17601880596754</v>
      </c>
      <c r="H141" s="70" t="n">
        <v>65264.39</v>
      </c>
      <c r="J141" s="72" t="n">
        <v>1240</v>
      </c>
      <c r="K141" s="73" t="n">
        <v>13.92</v>
      </c>
    </row>
    <row r="143">
      <c r="A143" s="66" t="inlineStr">
        <is>
          <t>Actual sales (SellerBoard)</t>
        </is>
      </c>
      <c r="B143" s="67" t="n"/>
      <c r="C143" s="68" t="n"/>
      <c r="D143" s="66" t="inlineStr">
        <is>
          <t>Sales</t>
        </is>
      </c>
      <c r="E143" s="66" t="inlineStr">
        <is>
          <t>Units</t>
        </is>
      </c>
      <c r="F143" s="66" t="inlineStr">
        <is>
          <t>Organic units</t>
        </is>
      </c>
      <c r="G143" s="66" t="inlineStr">
        <is>
          <t>Ad units</t>
        </is>
      </c>
      <c r="H143" s="66" t="inlineStr">
        <is>
          <t>Ad cost</t>
        </is>
      </c>
      <c r="J143" s="66" t="inlineStr">
        <is>
          <t>TACoS (actual)</t>
        </is>
      </c>
      <c r="K143" s="66" t="inlineStr">
        <is>
          <t>Sessions</t>
        </is>
      </c>
      <c r="L143" s="66" t="inlineStr">
        <is>
          <t>Unit session %</t>
        </is>
      </c>
      <c r="M143" s="66" t="inlineStr">
        <is>
          <t>Avg price</t>
        </is>
      </c>
      <c r="N143" s="66" t="inlineStr">
        <is>
          <t>Refunds</t>
        </is>
      </c>
    </row>
    <row r="144">
      <c r="A144" s="69" t="inlineStr">
        <is>
          <t>Pre-event Oct 21 - Nov 19, 2025 (30d)</t>
        </is>
      </c>
      <c r="B144" s="67" t="n"/>
      <c r="C144" s="68" t="n"/>
      <c r="D144" s="70" t="n">
        <v>25132.39</v>
      </c>
      <c r="E144" s="72" t="n">
        <v>918</v>
      </c>
      <c r="F144" s="72" t="n">
        <v>823</v>
      </c>
      <c r="G144" s="72" t="n">
        <v>95</v>
      </c>
      <c r="H144" s="70" t="n">
        <v>4168.04</v>
      </c>
      <c r="J144" s="74" t="n">
        <v>0.1658433599032961</v>
      </c>
      <c r="K144" s="72" t="n">
        <v>19229</v>
      </c>
      <c r="L144" s="74" t="n">
        <v>0.04774039211607468</v>
      </c>
      <c r="M144" s="75" t="n">
        <v>27.3773311546841</v>
      </c>
      <c r="N144" s="72" t="n">
        <v>50</v>
      </c>
    </row>
    <row r="145">
      <c r="A145" s="69" t="inlineStr">
        <is>
          <t>BFCM week Nov 20 - Dec 1, 2025 (12d)</t>
        </is>
      </c>
      <c r="B145" s="67" t="n"/>
      <c r="C145" s="68" t="n"/>
      <c r="D145" s="70" t="n">
        <v>29918.62</v>
      </c>
      <c r="E145" s="72" t="n">
        <v>1201</v>
      </c>
      <c r="F145" s="72" t="n">
        <v>1081</v>
      </c>
      <c r="G145" s="72" t="n">
        <v>120</v>
      </c>
      <c r="H145" s="70" t="n">
        <v>3932.84</v>
      </c>
      <c r="J145" s="74" t="n">
        <v>0.1314512500910804</v>
      </c>
      <c r="K145" s="72" t="n">
        <v>16679</v>
      </c>
      <c r="L145" s="74" t="n">
        <v>0.07200671503087715</v>
      </c>
      <c r="M145" s="75" t="n">
        <v>24.91142381348876</v>
      </c>
      <c r="N145" s="72" t="n">
        <v>28</v>
      </c>
    </row>
    <row r="146">
      <c r="A146" s="69" t="inlineStr">
        <is>
          <t>December 2 - 31, 2025 (30d)</t>
        </is>
      </c>
      <c r="B146" s="67" t="n"/>
      <c r="C146" s="68" t="n"/>
      <c r="D146" s="70" t="n">
        <v>50576.78</v>
      </c>
      <c r="E146" s="72" t="n">
        <v>1800</v>
      </c>
      <c r="F146" s="72" t="n">
        <v>1627</v>
      </c>
      <c r="G146" s="72" t="n">
        <v>173</v>
      </c>
      <c r="H146" s="70" t="n">
        <v>7673.17</v>
      </c>
      <c r="J146" s="74" t="n">
        <v>0.1517132961014916</v>
      </c>
      <c r="K146" s="72" t="n">
        <v>29238</v>
      </c>
      <c r="L146" s="74" t="n">
        <v>0.0615637184485943</v>
      </c>
      <c r="M146" s="75" t="n">
        <v>28.09821111111111</v>
      </c>
      <c r="N146" s="72" t="n">
        <v>100</v>
      </c>
    </row>
    <row r="147">
      <c r="A147" s="58"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6"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7" t="inlineStr">
        <is>
          <t>BFCM 2026 plan (BM, Oct 15, 2026): Best Deal 11/19-11/30. Deal price and depth not yet given; not yet visible in Amazon's deal feed.</t>
        </is>
      </c>
    </row>
    <row r="150" ht="18" customHeight="1">
      <c r="A150" s="79" t="inlineStr">
        <is>
          <t>ASSUMED 2026 deal prices, until BM's final: B0C7FX1GFS today C$47.99; C$40.79 at 15% off (Nov 19-26) and C$38.39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1" ht="40" customHeight="1">
      <c r="A151" s="76"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8" t="inlineStr">
        <is>
          <t>Figures above are Amazon.ca in CAD. Visibility history is held for US ASINs only.</t>
        </is>
      </c>
    </row>
    <row r="154" ht="20" customHeight="1">
      <c r="A154" s="53" t="inlineStr">
        <is>
          <t>4 · COMPETITOR LANDSCAPE (15 mapped)</t>
        </is>
      </c>
    </row>
    <row r="155">
      <c r="A155" s="58" t="inlineStr">
        <is>
          <t>Sorted by tier, then estimated weekly units. Green = Command Center price/sales; blue = Data Dive listing; purple = Command Center search strategy (ASINsight); yellow = fill from Keepa / page check.</t>
        </is>
      </c>
    </row>
    <row r="156" ht="30" customHeight="1">
      <c r="A156" s="76"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3"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Satin Sheets 4 Piece  ·  Amazon.com (US)  ·  Satin  ·  BFCM role: Clearance with margin  ·  Scope: Core</t>
        </is>
      </c>
    </row>
    <row r="2">
      <c r="A2" s="52" t="inlineStr">
        <is>
          <t>← Dashboard</t>
        </is>
      </c>
    </row>
    <row r="3" ht="20" customHeight="1">
      <c r="A3" s="53"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4" t="inlineStr">
        <is>
          <t>Full, King, Queen, Twin</t>
        </is>
      </c>
      <c r="S4" s="11" t="inlineStr">
        <is>
          <t>Break-even ACoS</t>
        </is>
      </c>
      <c r="T4" s="54" t="inlineStr">
        <is>
          <t>37%</t>
        </is>
      </c>
    </row>
    <row r="5" ht="22" customHeight="1">
      <c r="C5" s="11" t="inlineStr">
        <is>
          <t>Brand</t>
        </is>
      </c>
      <c r="D5" s="54" t="inlineStr">
        <is>
          <t>Sleephoria</t>
        </is>
      </c>
      <c r="K5" s="11" t="inlineStr">
        <is>
          <t>Colours</t>
        </is>
      </c>
      <c r="L5" s="54"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4" t="inlineStr">
        <is>
          <t>700</t>
        </is>
      </c>
    </row>
    <row r="6" ht="22" customHeight="1">
      <c r="C6" s="11" t="inlineStr">
        <is>
          <t>Marketplace</t>
        </is>
      </c>
      <c r="D6" s="54" t="inlineStr">
        <is>
          <t>Amazon.com (US)</t>
        </is>
      </c>
      <c r="K6" s="11" t="inlineStr">
        <is>
          <t>Price now, best child</t>
        </is>
      </c>
      <c r="L6" s="54" t="inlineStr">
        <is>
          <t>$33.95 (Helium 10 Xray, 2026-10-13)</t>
        </is>
      </c>
      <c r="S6" s="11" t="inlineStr">
        <is>
          <t>Command Center product ASIN</t>
        </is>
      </c>
      <c r="T6" s="54" t="inlineStr">
        <is>
          <t>B0DDR4HJCS (one of our child ASINs, not the Amazon parent)</t>
        </is>
      </c>
    </row>
    <row r="7" ht="22" customHeight="1">
      <c r="C7" s="11" t="inlineStr">
        <is>
          <t>Parent ASIN (Amazon)</t>
        </is>
      </c>
      <c r="D7" s="54" t="inlineStr">
        <is>
          <t>B0HFWXSCFP</t>
        </is>
      </c>
      <c r="K7" s="11" t="inlineStr">
        <is>
          <t>Rating / reviews now</t>
        </is>
      </c>
      <c r="L7" s="54" t="inlineStr">
        <is>
          <t>4.4 / 1,080 (Helium 10 Xray, 2026-10-13)</t>
        </is>
      </c>
    </row>
    <row r="8" ht="22" customHeight="1">
      <c r="C8" s="11" t="inlineStr">
        <is>
          <t>Best-selling child ASIN</t>
        </is>
      </c>
      <c r="D8" s="54" t="inlineStr">
        <is>
          <t>B0DDRH9RD7</t>
        </is>
      </c>
      <c r="K8" s="11" t="inlineStr">
        <is>
          <t>Live prices held</t>
        </is>
      </c>
      <c r="L8" s="54" t="inlineStr">
        <is>
          <t>81 of 117 variations</t>
        </is>
      </c>
    </row>
    <row r="9" ht="22" customHeight="1">
      <c r="C9" s="11" t="inlineStr">
        <is>
          <t>Stage</t>
        </is>
      </c>
      <c r="D9" s="54" t="inlineStr">
        <is>
          <t>Maintenance</t>
        </is>
      </c>
      <c r="K9" s="11" t="inlineStr">
        <is>
          <t>Blended price (Command Center)</t>
        </is>
      </c>
      <c r="L9" s="54" t="inlineStr">
        <is>
          <t>$37.06 - fee feed as of 2026-03-30, STALE</t>
        </is>
      </c>
    </row>
    <row r="10">
      <c r="C10" s="11" t="inlineStr">
        <is>
          <t>Total variations (SKUs)</t>
        </is>
      </c>
      <c r="D10" s="54" t="n">
        <v>116</v>
      </c>
      <c r="K10" s="11" t="inlineStr">
        <is>
          <t>Contribution / unit</t>
        </is>
      </c>
      <c r="L10" s="54" t="inlineStr">
        <is>
          <t>$13.85</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2.59x</t>
        </is>
      </c>
      <c r="E12" s="56" t="inlineStr">
        <is>
          <t>15.8%</t>
        </is>
      </c>
      <c r="I12" s="56" t="inlineStr">
        <is>
          <t>5.01x</t>
        </is>
      </c>
      <c r="M12" s="56" t="inlineStr">
        <is>
          <t>29</t>
        </is>
      </c>
      <c r="Q12" s="56" t="inlineStr">
        <is>
          <t>29</t>
        </is>
      </c>
      <c r="U12" s="56" t="inlineStr">
        <is>
          <t>1</t>
        </is>
      </c>
    </row>
    <row r="13">
      <c r="A13" s="57" t="inlineStr">
        <is>
          <t>daily sales, BFCM wk vs 30 days before (SellerBoard actual)</t>
        </is>
      </c>
      <c r="E13" s="57" t="inlineStr">
        <is>
          <t>vs 18.3%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(117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59" t="n">
        <v>33.95</v>
      </c>
      <c r="H18" s="32" t="inlineStr">
        <is>
          <t>Helium 10 Xray, 2026-10-13</t>
        </is>
      </c>
      <c r="I18" s="60" t="n">
        <v>39.95</v>
      </c>
      <c r="J18" s="61" t="inlineStr">
        <is>
          <t>2026-03-30</t>
        </is>
      </c>
      <c r="K18" s="33" t="n">
        <v>17.92</v>
      </c>
      <c r="L18" s="62" t="n">
        <v>0.4485607008760951</v>
      </c>
      <c r="M18" s="63" t="n">
        <v>45</v>
      </c>
      <c r="N18" s="32" t="inlineStr">
        <is>
          <t>Active</t>
        </is>
      </c>
      <c r="O18" s="32" t="inlineStr">
        <is>
          <t>Yes (12%)</t>
        </is>
      </c>
      <c r="P18" s="64" t="n">
        <v>4.4</v>
      </c>
      <c r="Q18" s="63" t="n">
        <v>1080</v>
      </c>
      <c r="R18" s="63" t="n">
        <v>28109</v>
      </c>
      <c r="S18" s="63"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59" t="n">
        <v>33.95</v>
      </c>
      <c r="H19" s="32" t="inlineStr">
        <is>
          <t>Helium 10 Xray, 2026-10-13</t>
        </is>
      </c>
      <c r="I19" s="60" t="n">
        <v>39.95</v>
      </c>
      <c r="J19" s="61" t="inlineStr">
        <is>
          <t>2026-03-30</t>
        </is>
      </c>
      <c r="K19" s="33" t="n">
        <v>17.71</v>
      </c>
      <c r="L19" s="62" t="n">
        <v>0.4433041301627034</v>
      </c>
      <c r="M19" s="63" t="n">
        <v>35</v>
      </c>
      <c r="N19" s="32" t="inlineStr">
        <is>
          <t>Active</t>
        </is>
      </c>
      <c r="O19" s="32" t="inlineStr">
        <is>
          <t>Yes (10%)</t>
        </is>
      </c>
      <c r="P19" s="64" t="n">
        <v>4.4</v>
      </c>
      <c r="Q19" s="63" t="n">
        <v>1080</v>
      </c>
      <c r="R19" s="63" t="n">
        <v>28109</v>
      </c>
      <c r="S19" s="63"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59" t="n">
        <v>35.95</v>
      </c>
      <c r="H20" s="32" t="inlineStr">
        <is>
          <t>Helium 10 Xray, 2026-10-13</t>
        </is>
      </c>
      <c r="I20" s="60" t="n">
        <v>35.95</v>
      </c>
      <c r="J20" s="61" t="inlineStr">
        <is>
          <t>2026-03-30</t>
        </is>
      </c>
      <c r="K20" s="33" t="n">
        <v>10.86</v>
      </c>
      <c r="L20" s="62" t="n">
        <v>0.3020862308762171</v>
      </c>
      <c r="M20" s="63" t="n">
        <v>34</v>
      </c>
      <c r="N20" s="32" t="inlineStr">
        <is>
          <t>Active</t>
        </is>
      </c>
      <c r="O20" s="32" t="inlineStr">
        <is>
          <t>Yes (17%)</t>
        </is>
      </c>
      <c r="P20" s="64" t="n">
        <v>4.4</v>
      </c>
      <c r="Q20" s="63" t="n">
        <v>1080</v>
      </c>
      <c r="R20" s="63" t="n">
        <v>28109</v>
      </c>
      <c r="S20" s="63"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59" t="n">
        <v>39.95</v>
      </c>
      <c r="H21" s="32" t="inlineStr">
        <is>
          <t>Helium 10 Xray, 2026-10-13</t>
        </is>
      </c>
      <c r="I21" s="60" t="n">
        <v>35.95</v>
      </c>
      <c r="J21" s="61" t="inlineStr">
        <is>
          <t>2026-03-30</t>
        </is>
      </c>
      <c r="K21" s="33" t="n">
        <v>11.41</v>
      </c>
      <c r="L21" s="62" t="n">
        <v>0.3173852573018081</v>
      </c>
      <c r="M21" s="63" t="n">
        <v>33</v>
      </c>
      <c r="N21" s="32" t="inlineStr">
        <is>
          <t>Active</t>
        </is>
      </c>
      <c r="O21" s="32" t="n"/>
      <c r="P21" s="64" t="n">
        <v>4.4</v>
      </c>
      <c r="Q21" s="63" t="n">
        <v>1080</v>
      </c>
      <c r="R21" s="63" t="n">
        <v>28109</v>
      </c>
      <c r="S21" s="63"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59" t="n">
        <v>35.95</v>
      </c>
      <c r="H22" s="32" t="inlineStr">
        <is>
          <t>Helium 10 Xray, 2026-10-13</t>
        </is>
      </c>
      <c r="I22" s="60" t="n">
        <v>35.95</v>
      </c>
      <c r="J22" s="61" t="inlineStr">
        <is>
          <t>2026-03-30</t>
        </is>
      </c>
      <c r="K22" s="33" t="n">
        <v>10.94</v>
      </c>
      <c r="L22" s="62" t="n">
        <v>0.3043115438108485</v>
      </c>
      <c r="M22" s="63" t="n">
        <v>29</v>
      </c>
      <c r="N22" s="32" t="inlineStr">
        <is>
          <t>Active</t>
        </is>
      </c>
      <c r="O22" s="32" t="inlineStr">
        <is>
          <t>Yes (21%)</t>
        </is>
      </c>
      <c r="P22" s="64" t="n">
        <v>4.4</v>
      </c>
      <c r="Q22" s="63" t="n">
        <v>1080</v>
      </c>
      <c r="R22" s="63" t="n">
        <v>28109</v>
      </c>
      <c r="S22" s="63"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59" t="n">
        <v>37.95</v>
      </c>
      <c r="H23" s="32" t="inlineStr">
        <is>
          <t>Helium 10 Xray, 2026-10-13</t>
        </is>
      </c>
      <c r="I23" s="60" t="n">
        <v>35.95</v>
      </c>
      <c r="J23" s="61" t="inlineStr">
        <is>
          <t>2026-03-30</t>
        </is>
      </c>
      <c r="K23" s="33" t="n">
        <v>12.1</v>
      </c>
      <c r="L23" s="62" t="n">
        <v>0.3365785813630042</v>
      </c>
      <c r="M23" s="63" t="n">
        <v>23</v>
      </c>
      <c r="N23" s="32" t="inlineStr">
        <is>
          <t>Active</t>
        </is>
      </c>
      <c r="O23" s="32" t="n"/>
      <c r="P23" s="64" t="n">
        <v>4.4</v>
      </c>
      <c r="Q23" s="63" t="n">
        <v>1080</v>
      </c>
      <c r="R23" s="63" t="n">
        <v>28101</v>
      </c>
      <c r="S23" s="63"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59" t="n">
        <v>35.95</v>
      </c>
      <c r="H24" s="32" t="inlineStr">
        <is>
          <t>Helium 10 Xray, 2026-10-13</t>
        </is>
      </c>
      <c r="I24" s="60" t="n">
        <v>35.95</v>
      </c>
      <c r="J24" s="61" t="inlineStr">
        <is>
          <t>2026-03-30</t>
        </is>
      </c>
      <c r="K24" s="33" t="n">
        <v>11.68</v>
      </c>
      <c r="L24" s="62" t="n">
        <v>0.3248956884561892</v>
      </c>
      <c r="M24" s="63" t="n">
        <v>23</v>
      </c>
      <c r="N24" s="32" t="inlineStr">
        <is>
          <t>Active</t>
        </is>
      </c>
      <c r="O24" s="32" t="n"/>
      <c r="P24" s="64" t="n">
        <v>4.4</v>
      </c>
      <c r="Q24" s="63" t="n">
        <v>1080</v>
      </c>
      <c r="R24" s="63" t="n">
        <v>28109</v>
      </c>
      <c r="S24" s="63"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59" t="n">
        <v>35.95</v>
      </c>
      <c r="H25" s="32" t="inlineStr">
        <is>
          <t>Helium 10 Xray, 2026-10-13</t>
        </is>
      </c>
      <c r="I25" s="60" t="n">
        <v>35.95</v>
      </c>
      <c r="J25" s="61" t="inlineStr">
        <is>
          <t>2026-03-30</t>
        </is>
      </c>
      <c r="K25" s="33" t="n">
        <v>11.32</v>
      </c>
      <c r="L25" s="62" t="n">
        <v>0.3148817802503478</v>
      </c>
      <c r="M25" s="63" t="n">
        <v>23</v>
      </c>
      <c r="N25" s="32" t="inlineStr">
        <is>
          <t>Active</t>
        </is>
      </c>
      <c r="O25" s="32" t="n"/>
      <c r="P25" s="64" t="n">
        <v>4.4</v>
      </c>
      <c r="Q25" s="63" t="n">
        <v>1080</v>
      </c>
      <c r="R25" s="63" t="n">
        <v>28101</v>
      </c>
      <c r="S25" s="63"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59" t="n">
        <v>33.95</v>
      </c>
      <c r="H26" s="32" t="inlineStr">
        <is>
          <t>Helium 10 Xray, 2026-10-13</t>
        </is>
      </c>
      <c r="I26" s="60" t="n">
        <v>39.95</v>
      </c>
      <c r="J26" s="61" t="inlineStr">
        <is>
          <t>2026-03-30</t>
        </is>
      </c>
      <c r="K26" s="33" t="n">
        <v>15.94</v>
      </c>
      <c r="L26" s="62" t="n">
        <v>0.3989987484355444</v>
      </c>
      <c r="M26" s="63" t="n">
        <v>19</v>
      </c>
      <c r="N26" s="32" t="inlineStr">
        <is>
          <t>Active</t>
        </is>
      </c>
      <c r="O26" s="32" t="n"/>
      <c r="P26" s="64" t="n">
        <v>4.4</v>
      </c>
      <c r="Q26" s="63" t="n">
        <v>1080</v>
      </c>
      <c r="R26" s="63" t="n">
        <v>28101</v>
      </c>
      <c r="S26" s="63"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59" t="n">
        <v>35.95</v>
      </c>
      <c r="H27" s="32" t="inlineStr">
        <is>
          <t>Helium 10 Xray, 2026-10-13</t>
        </is>
      </c>
      <c r="I27" s="60" t="n">
        <v>35.95</v>
      </c>
      <c r="J27" s="61" t="inlineStr">
        <is>
          <t>2026-03-30</t>
        </is>
      </c>
      <c r="K27" s="33" t="n">
        <v>11.85</v>
      </c>
      <c r="L27" s="62" t="n">
        <v>0.329624478442281</v>
      </c>
      <c r="M27" s="63" t="n">
        <v>18</v>
      </c>
      <c r="N27" s="32" t="inlineStr">
        <is>
          <t>Active</t>
        </is>
      </c>
      <c r="O27" s="32" t="n"/>
      <c r="P27" s="64" t="n">
        <v>4.4</v>
      </c>
      <c r="Q27" s="63" t="n">
        <v>1080</v>
      </c>
      <c r="R27" s="63" t="n">
        <v>28101</v>
      </c>
      <c r="S27" s="63"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59" t="n">
        <v>35.95</v>
      </c>
      <c r="H28" s="32" t="inlineStr">
        <is>
          <t>Helium 10 Xray, 2026-10-13</t>
        </is>
      </c>
      <c r="I28" s="60" t="n">
        <v>35.95</v>
      </c>
      <c r="J28" s="61" t="inlineStr">
        <is>
          <t>2026-03-30</t>
        </is>
      </c>
      <c r="K28" s="33" t="n">
        <v>12.57</v>
      </c>
      <c r="L28" s="62" t="n">
        <v>0.3496522948539639</v>
      </c>
      <c r="M28" s="63" t="n">
        <v>17</v>
      </c>
      <c r="N28" s="32" t="inlineStr">
        <is>
          <t>Active</t>
        </is>
      </c>
      <c r="O28" s="32" t="n"/>
      <c r="P28" s="64" t="n">
        <v>4.4</v>
      </c>
      <c r="Q28" s="63" t="n">
        <v>1080</v>
      </c>
      <c r="R28" s="63" t="n">
        <v>28101</v>
      </c>
      <c r="S28" s="63"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59" t="n">
        <v>38.95</v>
      </c>
      <c r="H29" s="32" t="inlineStr">
        <is>
          <t>Helium 10 Xray, 2026-10-13</t>
        </is>
      </c>
      <c r="I29" s="60" t="n">
        <v>35.95</v>
      </c>
      <c r="J29" s="61" t="inlineStr">
        <is>
          <t>2026-03-30</t>
        </is>
      </c>
      <c r="K29" s="33" t="n">
        <v>12.18</v>
      </c>
      <c r="L29" s="62" t="n">
        <v>0.3388038942976357</v>
      </c>
      <c r="M29" s="63" t="n">
        <v>17</v>
      </c>
      <c r="N29" s="32" t="inlineStr">
        <is>
          <t>Active</t>
        </is>
      </c>
      <c r="O29" s="32" t="n"/>
      <c r="P29" s="64" t="n">
        <v>4.4</v>
      </c>
      <c r="Q29" s="63" t="n">
        <v>1080</v>
      </c>
      <c r="R29" s="63" t="n">
        <v>28109</v>
      </c>
      <c r="S29" s="63"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59" t="n">
        <v>31.95</v>
      </c>
      <c r="H30" s="32" t="inlineStr">
        <is>
          <t>Helium 10 Xray, 2026-10-13</t>
        </is>
      </c>
      <c r="I30" s="60" t="n">
        <v>37.95</v>
      </c>
      <c r="J30" s="61" t="inlineStr">
        <is>
          <t>2026-03-30</t>
        </is>
      </c>
      <c r="K30" s="33" t="n">
        <v>16.70000000000001</v>
      </c>
      <c r="L30" s="62" t="n">
        <v>0.4400527009222663</v>
      </c>
      <c r="M30" s="63" t="n">
        <v>14</v>
      </c>
      <c r="N30" s="32" t="inlineStr">
        <is>
          <t>Active</t>
        </is>
      </c>
      <c r="O30" s="32" t="inlineStr">
        <is>
          <t>Yes (5%)</t>
        </is>
      </c>
      <c r="P30" s="64" t="n">
        <v>4.4</v>
      </c>
      <c r="Q30" s="63" t="n">
        <v>1080</v>
      </c>
      <c r="R30" s="63" t="n">
        <v>28101</v>
      </c>
      <c r="S30" s="63"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59" t="n">
        <v>35.95</v>
      </c>
      <c r="H31" s="32" t="inlineStr">
        <is>
          <t>Helium 10 Xray, 2026-10-13</t>
        </is>
      </c>
      <c r="I31" s="60" t="n">
        <v>41.95</v>
      </c>
      <c r="J31" s="61" t="inlineStr">
        <is>
          <t>2026-03-30</t>
        </is>
      </c>
      <c r="K31" s="33" t="n">
        <v>16.90000000000001</v>
      </c>
      <c r="L31" s="62" t="n">
        <v>0.4028605482717522</v>
      </c>
      <c r="M31" s="63" t="n">
        <v>14</v>
      </c>
      <c r="N31" s="32" t="inlineStr">
        <is>
          <t>Active</t>
        </is>
      </c>
      <c r="O31" s="32" t="n"/>
      <c r="P31" s="64" t="n">
        <v>4.4</v>
      </c>
      <c r="Q31" s="63" t="n">
        <v>1080</v>
      </c>
      <c r="R31" s="63" t="n">
        <v>28109</v>
      </c>
      <c r="S31" s="63"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59" t="n">
        <v>31.95</v>
      </c>
      <c r="H32" s="32" t="inlineStr">
        <is>
          <t>Helium 10 Xray, 2026-10-13</t>
        </is>
      </c>
      <c r="I32" s="60" t="n">
        <v>39.95</v>
      </c>
      <c r="J32" s="61" t="inlineStr">
        <is>
          <t>2026-03-30</t>
        </is>
      </c>
      <c r="K32" s="33" t="n">
        <v>16.98</v>
      </c>
      <c r="L32" s="62" t="n">
        <v>0.4250312891113893</v>
      </c>
      <c r="M32" s="63" t="n">
        <v>14</v>
      </c>
      <c r="N32" s="32" t="inlineStr">
        <is>
          <t>Active</t>
        </is>
      </c>
      <c r="O32" s="32" t="n"/>
      <c r="P32" s="64" t="n">
        <v>4.4</v>
      </c>
      <c r="Q32" s="63" t="n">
        <v>1080</v>
      </c>
      <c r="R32" s="63" t="n">
        <v>28101</v>
      </c>
      <c r="S32" s="63"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59" t="n">
        <v>33.95</v>
      </c>
      <c r="H33" s="32" t="inlineStr">
        <is>
          <t>Helium 10 Xray, 2026-10-13</t>
        </is>
      </c>
      <c r="I33" s="60" t="n">
        <v>33.95</v>
      </c>
      <c r="J33" s="61" t="inlineStr">
        <is>
          <t>2026-03-30</t>
        </is>
      </c>
      <c r="K33" s="33" t="n">
        <v>11.03</v>
      </c>
      <c r="L33" s="62" t="n">
        <v>0.3248895434462445</v>
      </c>
      <c r="M33" s="63" t="n">
        <v>14</v>
      </c>
      <c r="N33" s="32" t="inlineStr">
        <is>
          <t>Active</t>
        </is>
      </c>
      <c r="O33" s="32" t="n"/>
      <c r="P33" s="64" t="n">
        <v>4.4</v>
      </c>
      <c r="Q33" s="63" t="n">
        <v>1080</v>
      </c>
      <c r="R33" s="63" t="n">
        <v>28101</v>
      </c>
      <c r="S33" s="63"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59" t="n">
        <v>35.95</v>
      </c>
      <c r="H34" s="32" t="inlineStr">
        <is>
          <t>Helium 10 Xray, 2026-10-13</t>
        </is>
      </c>
      <c r="I34" s="60" t="n">
        <v>35.95</v>
      </c>
      <c r="J34" s="61" t="inlineStr">
        <is>
          <t>2026-03-30</t>
        </is>
      </c>
      <c r="K34" s="33" t="n">
        <v>10.8</v>
      </c>
      <c r="L34" s="62" t="n">
        <v>0.3004172461752435</v>
      </c>
      <c r="M34" s="63" t="n">
        <v>13</v>
      </c>
      <c r="N34" s="32" t="inlineStr">
        <is>
          <t>Active</t>
        </is>
      </c>
      <c r="O34" s="32" t="inlineStr">
        <is>
          <t>Yes (4%)</t>
        </is>
      </c>
      <c r="P34" s="64" t="n">
        <v>4.4</v>
      </c>
      <c r="Q34" s="63" t="n">
        <v>1080</v>
      </c>
      <c r="R34" s="63" t="n">
        <v>28101</v>
      </c>
      <c r="S34" s="63"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59" t="n">
        <v>33.95</v>
      </c>
      <c r="H35" s="32" t="inlineStr">
        <is>
          <t>Helium 10 Xray, 2026-10-13</t>
        </is>
      </c>
      <c r="I35" s="60" t="n">
        <v>33.95</v>
      </c>
      <c r="J35" s="61" t="inlineStr">
        <is>
          <t>2026-03-30</t>
        </is>
      </c>
      <c r="K35" s="33" t="n">
        <v>11.92</v>
      </c>
      <c r="L35" s="62" t="n">
        <v>0.3511045655375553</v>
      </c>
      <c r="M35" s="63" t="n">
        <v>13</v>
      </c>
      <c r="N35" s="32" t="inlineStr">
        <is>
          <t>Active</t>
        </is>
      </c>
      <c r="O35" s="32" t="n"/>
      <c r="P35" s="64" t="n">
        <v>4.4</v>
      </c>
      <c r="Q35" s="63" t="n">
        <v>1080</v>
      </c>
      <c r="R35" s="63" t="n">
        <v>28101</v>
      </c>
      <c r="S35" s="63"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59" t="n">
        <v>31.95</v>
      </c>
      <c r="H36" s="32" t="inlineStr">
        <is>
          <t>Helium 10 Xray, 2026-10-13</t>
        </is>
      </c>
      <c r="I36" s="60" t="n">
        <v>39.95</v>
      </c>
      <c r="J36" s="61" t="inlineStr">
        <is>
          <t>2026-03-30</t>
        </is>
      </c>
      <c r="K36" s="33" t="n">
        <v>16.76</v>
      </c>
      <c r="L36" s="62" t="n">
        <v>0.4195244055068836</v>
      </c>
      <c r="M36" s="63" t="n">
        <v>13</v>
      </c>
      <c r="N36" s="32" t="inlineStr">
        <is>
          <t>Active</t>
        </is>
      </c>
      <c r="O36" s="32" t="n"/>
      <c r="P36" s="64" t="n">
        <v>4.4</v>
      </c>
      <c r="Q36" s="63" t="n">
        <v>1080</v>
      </c>
      <c r="R36" s="63" t="n">
        <v>28101</v>
      </c>
      <c r="S36" s="63"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59" t="n">
        <v>29.95</v>
      </c>
      <c r="H37" s="32" t="inlineStr">
        <is>
          <t>Helium 10 Xray, 2026-10-13</t>
        </is>
      </c>
      <c r="I37" s="60" t="n">
        <v>31.95</v>
      </c>
      <c r="J37" s="61" t="inlineStr">
        <is>
          <t>2026-03-30</t>
        </is>
      </c>
      <c r="K37" s="33" t="n">
        <v>12.98</v>
      </c>
      <c r="L37" s="62" t="n">
        <v>0.4062597809076681</v>
      </c>
      <c r="M37" s="63" t="n">
        <v>12</v>
      </c>
      <c r="N37" s="32" t="inlineStr">
        <is>
          <t>Active</t>
        </is>
      </c>
      <c r="O37" s="32" t="inlineStr">
        <is>
          <t>Yes (4%)</t>
        </is>
      </c>
      <c r="P37" s="64" t="n">
        <v>4.4</v>
      </c>
      <c r="Q37" s="63" t="n">
        <v>1080</v>
      </c>
      <c r="R37" s="63" t="n">
        <v>28101</v>
      </c>
      <c r="S37" s="63"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59" t="n">
        <v>29.95</v>
      </c>
      <c r="H38" s="32" t="inlineStr">
        <is>
          <t>Helium 10 Xray, 2026-10-13</t>
        </is>
      </c>
      <c r="I38" s="60" t="n">
        <v>37.95</v>
      </c>
      <c r="J38" s="61" t="inlineStr">
        <is>
          <t>2026-03-30</t>
        </is>
      </c>
      <c r="K38" s="33" t="n">
        <v>15.37000000000001</v>
      </c>
      <c r="L38" s="62" t="n">
        <v>0.4050065876152834</v>
      </c>
      <c r="M38" s="63" t="n">
        <v>11</v>
      </c>
      <c r="N38" s="32" t="inlineStr">
        <is>
          <t>Active</t>
        </is>
      </c>
      <c r="O38" s="32" t="n"/>
      <c r="P38" s="64" t="n">
        <v>4.4</v>
      </c>
      <c r="Q38" s="63" t="n">
        <v>1080</v>
      </c>
      <c r="R38" s="63" t="n">
        <v>28101</v>
      </c>
      <c r="S38" s="63"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59" t="n">
        <v>39.95</v>
      </c>
      <c r="H39" s="32" t="inlineStr">
        <is>
          <t>Helium 10 Xray, 2026-10-13</t>
        </is>
      </c>
      <c r="I39" s="60" t="n">
        <v>35.95</v>
      </c>
      <c r="J39" s="61" t="inlineStr">
        <is>
          <t>2026-03-30</t>
        </is>
      </c>
      <c r="K39" s="33" t="n">
        <v>11.96</v>
      </c>
      <c r="L39" s="62" t="n">
        <v>0.3326842837273992</v>
      </c>
      <c r="M39" s="63" t="n">
        <v>11</v>
      </c>
      <c r="N39" s="32" t="inlineStr">
        <is>
          <t>Active</t>
        </is>
      </c>
      <c r="O39" s="32" t="n"/>
      <c r="P39" s="64" t="n">
        <v>4.4</v>
      </c>
      <c r="Q39" s="63" t="n">
        <v>1080</v>
      </c>
      <c r="R39" s="63" t="n">
        <v>28101</v>
      </c>
      <c r="S39" s="63"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59" t="n">
        <v>35.95</v>
      </c>
      <c r="H40" s="32" t="inlineStr">
        <is>
          <t>Helium 10 Xray, 2026-10-13</t>
        </is>
      </c>
      <c r="I40" s="60" t="n">
        <v>35.95</v>
      </c>
      <c r="J40" s="61" t="inlineStr">
        <is>
          <t>2026-03-30</t>
        </is>
      </c>
      <c r="K40" s="33" t="n">
        <v>12.68</v>
      </c>
      <c r="L40" s="62" t="n">
        <v>0.3527121001390821</v>
      </c>
      <c r="M40" s="63" t="n">
        <v>11</v>
      </c>
      <c r="N40" s="32" t="inlineStr">
        <is>
          <t>Active</t>
        </is>
      </c>
      <c r="O40" s="32" t="n"/>
      <c r="P40" s="64" t="n">
        <v>4.4</v>
      </c>
      <c r="Q40" s="63" t="n">
        <v>1080</v>
      </c>
      <c r="R40" s="63" t="n">
        <v>28101</v>
      </c>
      <c r="S40" s="63"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59" t="n">
        <v>35.95</v>
      </c>
      <c r="H41" s="32" t="inlineStr">
        <is>
          <t>Helium 10 Xray, 2026-10-13</t>
        </is>
      </c>
      <c r="I41" s="60" t="n">
        <v>41.95</v>
      </c>
      <c r="J41" s="61" t="inlineStr">
        <is>
          <t>2026-03-30</t>
        </is>
      </c>
      <c r="K41" s="33" t="n">
        <v>16.23</v>
      </c>
      <c r="L41" s="62" t="n">
        <v>0.3868891537544697</v>
      </c>
      <c r="M41" s="63" t="n">
        <v>11</v>
      </c>
      <c r="N41" s="32" t="inlineStr">
        <is>
          <t>Active</t>
        </is>
      </c>
      <c r="O41" s="32" t="n"/>
      <c r="P41" s="64" t="n">
        <v>4.4</v>
      </c>
      <c r="Q41" s="63" t="n">
        <v>1080</v>
      </c>
      <c r="R41" s="63" t="n">
        <v>28101</v>
      </c>
      <c r="S41" s="63"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59" t="n">
        <v>35.95</v>
      </c>
      <c r="H42" s="32" t="inlineStr">
        <is>
          <t>Helium 10 Xray, 2026-10-13</t>
        </is>
      </c>
      <c r="I42" s="60" t="n">
        <v>41.95</v>
      </c>
      <c r="J42" s="61" t="inlineStr">
        <is>
          <t>2026-03-30</t>
        </is>
      </c>
      <c r="K42" s="33" t="n">
        <v>16.57000000000001</v>
      </c>
      <c r="L42" s="62" t="n">
        <v>0.3949940405244339</v>
      </c>
      <c r="M42" s="63" t="n">
        <v>10</v>
      </c>
      <c r="N42" s="32" t="inlineStr">
        <is>
          <t>Active</t>
        </is>
      </c>
      <c r="O42" s="32" t="n"/>
      <c r="P42" s="64" t="n">
        <v>4.4</v>
      </c>
      <c r="Q42" s="63" t="n">
        <v>1080</v>
      </c>
      <c r="R42" s="63" t="n">
        <v>28101</v>
      </c>
      <c r="S42" s="63"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59" t="n">
        <v>38.95</v>
      </c>
      <c r="H43" s="32" t="inlineStr">
        <is>
          <t>Helium 10 Xray, 2026-10-13</t>
        </is>
      </c>
      <c r="I43" s="60" t="n">
        <v>33.95</v>
      </c>
      <c r="J43" s="61" t="inlineStr">
        <is>
          <t>2026-03-30</t>
        </is>
      </c>
      <c r="K43" s="33" t="n">
        <v>11.75</v>
      </c>
      <c r="L43" s="62" t="n">
        <v>0.3460972017673049</v>
      </c>
      <c r="M43" s="63" t="n">
        <v>10</v>
      </c>
      <c r="N43" s="32" t="inlineStr">
        <is>
          <t>Active</t>
        </is>
      </c>
      <c r="O43" s="32" t="n"/>
      <c r="P43" s="64" t="n">
        <v>4.4</v>
      </c>
      <c r="Q43" s="63" t="n">
        <v>1080</v>
      </c>
      <c r="R43" s="63" t="n">
        <v>28109</v>
      </c>
      <c r="S43" s="63"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59" t="n">
        <v>36.95</v>
      </c>
      <c r="H44" s="32" t="inlineStr">
        <is>
          <t>Helium 10 Xray, 2026-10-13</t>
        </is>
      </c>
      <c r="I44" s="60" t="n">
        <v>39.95</v>
      </c>
      <c r="J44" s="61" t="inlineStr">
        <is>
          <t>2026-03-30</t>
        </is>
      </c>
      <c r="K44" s="33" t="n">
        <v>15.17</v>
      </c>
      <c r="L44" s="62" t="n">
        <v>0.3797246558197747</v>
      </c>
      <c r="M44" s="63" t="n">
        <v>10</v>
      </c>
      <c r="N44" s="32" t="inlineStr">
        <is>
          <t>Active</t>
        </is>
      </c>
      <c r="O44" s="32" t="n"/>
      <c r="P44" s="64" t="n">
        <v>4.4</v>
      </c>
      <c r="Q44" s="63" t="n">
        <v>1080</v>
      </c>
      <c r="R44" s="63" t="n">
        <v>28109</v>
      </c>
      <c r="S44" s="63"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59" t="n">
        <v>31.95</v>
      </c>
      <c r="H45" s="32" t="inlineStr">
        <is>
          <t>Helium 10 Xray, 2026-10-13</t>
        </is>
      </c>
      <c r="I45" s="60" t="n">
        <v>31.95</v>
      </c>
      <c r="J45" s="61" t="inlineStr">
        <is>
          <t>2026-03-30</t>
        </is>
      </c>
      <c r="K45" s="33" t="n">
        <v>11.57</v>
      </c>
      <c r="L45" s="62" t="n">
        <v>0.3621283255086072</v>
      </c>
      <c r="M45" s="63" t="n">
        <v>9</v>
      </c>
      <c r="N45" s="32" t="inlineStr">
        <is>
          <t>Active</t>
        </is>
      </c>
      <c r="O45" s="32" t="n"/>
      <c r="P45" s="64" t="n">
        <v>4.4</v>
      </c>
      <c r="Q45" s="63" t="n">
        <v>1080</v>
      </c>
      <c r="R45" s="63" t="n">
        <v>28101</v>
      </c>
      <c r="S45" s="63"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59" t="n">
        <v>32.95</v>
      </c>
      <c r="H46" s="32" t="inlineStr">
        <is>
          <t>Helium 10 Xray, 2026-10-13</t>
        </is>
      </c>
      <c r="I46" s="60" t="n">
        <v>40.95</v>
      </c>
      <c r="J46" s="61" t="inlineStr">
        <is>
          <t>2026-03-30</t>
        </is>
      </c>
      <c r="K46" s="33" t="n">
        <v>18.35</v>
      </c>
      <c r="L46" s="62" t="n">
        <v>0.4481074481074481</v>
      </c>
      <c r="M46" s="63" t="n">
        <v>9</v>
      </c>
      <c r="N46" s="32" t="inlineStr">
        <is>
          <t>Active</t>
        </is>
      </c>
      <c r="O46" s="32" t="n"/>
      <c r="P46" s="64" t="n">
        <v>4.4</v>
      </c>
      <c r="Q46" s="63" t="n">
        <v>1080</v>
      </c>
      <c r="R46" s="63" t="n">
        <v>28101</v>
      </c>
      <c r="S46" s="63"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59" t="n">
        <v>35.95</v>
      </c>
      <c r="H47" s="32" t="inlineStr">
        <is>
          <t>Helium 10 Xray, 2026-10-13</t>
        </is>
      </c>
      <c r="I47" s="60" t="n">
        <v>41.95</v>
      </c>
      <c r="J47" s="61" t="inlineStr">
        <is>
          <t>2026-03-30</t>
        </is>
      </c>
      <c r="K47" s="33" t="n">
        <v>16.74000000000001</v>
      </c>
      <c r="L47" s="62" t="n">
        <v>0.399046483909416</v>
      </c>
      <c r="M47" s="63" t="n">
        <v>9</v>
      </c>
      <c r="N47" s="32" t="inlineStr">
        <is>
          <t>Active</t>
        </is>
      </c>
      <c r="O47" s="32" t="n"/>
      <c r="P47" s="64" t="n">
        <v>4.4</v>
      </c>
      <c r="Q47" s="63" t="n">
        <v>1080</v>
      </c>
      <c r="R47" s="63" t="n">
        <v>28101</v>
      </c>
      <c r="S47" s="63"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59" t="n">
        <v>35.95</v>
      </c>
      <c r="H48" s="32" t="inlineStr">
        <is>
          <t>Helium 10 Xray, 2026-10-13</t>
        </is>
      </c>
      <c r="I48" s="60" t="n">
        <v>41.95</v>
      </c>
      <c r="J48" s="61" t="inlineStr">
        <is>
          <t>2026-03-30</t>
        </is>
      </c>
      <c r="K48" s="33" t="n">
        <v>15.74000000000001</v>
      </c>
      <c r="L48" s="62" t="n">
        <v>0.3752085816448154</v>
      </c>
      <c r="M48" s="63" t="n">
        <v>9</v>
      </c>
      <c r="N48" s="32" t="inlineStr">
        <is>
          <t>Active</t>
        </is>
      </c>
      <c r="O48" s="32" t="n"/>
      <c r="P48" s="64" t="n">
        <v>4.4</v>
      </c>
      <c r="Q48" s="63" t="n">
        <v>1080</v>
      </c>
      <c r="R48" s="63" t="n">
        <v>28101</v>
      </c>
      <c r="S48" s="63"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59" t="n">
        <v>31.95</v>
      </c>
      <c r="H49" s="32" t="inlineStr">
        <is>
          <t>Helium 10 Xray, 2026-10-13</t>
        </is>
      </c>
      <c r="I49" s="60" t="n">
        <v>37.95</v>
      </c>
      <c r="J49" s="61" t="inlineStr">
        <is>
          <t>2026-03-30</t>
        </is>
      </c>
      <c r="K49" s="33" t="n">
        <v>16.77000000000001</v>
      </c>
      <c r="L49" s="62" t="n">
        <v>0.4418972332015813</v>
      </c>
      <c r="M49" s="63" t="n">
        <v>8</v>
      </c>
      <c r="N49" s="32" t="inlineStr">
        <is>
          <t>Active</t>
        </is>
      </c>
      <c r="O49" s="32" t="inlineStr">
        <is>
          <t>Yes (10%)</t>
        </is>
      </c>
      <c r="P49" s="64" t="n">
        <v>4.4</v>
      </c>
      <c r="Q49" s="63" t="n">
        <v>1080</v>
      </c>
      <c r="R49" s="63" t="n">
        <v>28101</v>
      </c>
      <c r="S49" s="63"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59" t="n">
        <v>35.95</v>
      </c>
      <c r="H50" s="32" t="inlineStr">
        <is>
          <t>Helium 10 Xray, 2026-10-13</t>
        </is>
      </c>
      <c r="I50" s="60" t="n">
        <v>41.95</v>
      </c>
      <c r="J50" s="61" t="inlineStr">
        <is>
          <t>2026-03-30</t>
        </is>
      </c>
      <c r="K50" s="33" t="n">
        <v>16.67</v>
      </c>
      <c r="L50" s="62" t="n">
        <v>0.3973778307508939</v>
      </c>
      <c r="M50" s="63" t="n">
        <v>8</v>
      </c>
      <c r="N50" s="32" t="inlineStr">
        <is>
          <t>Active</t>
        </is>
      </c>
      <c r="O50" s="32" t="n"/>
      <c r="P50" s="64" t="n">
        <v>4.4</v>
      </c>
      <c r="Q50" s="63" t="n">
        <v>1080</v>
      </c>
      <c r="R50" s="63" t="n">
        <v>28101</v>
      </c>
      <c r="S50" s="63"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0" t="n">
        <v>39.95</v>
      </c>
      <c r="J51" s="61" t="inlineStr">
        <is>
          <t>2026-03-30</t>
        </is>
      </c>
      <c r="K51" s="33" t="n">
        <v>14.54</v>
      </c>
      <c r="L51" s="62" t="n">
        <v>0.3639549436795995</v>
      </c>
      <c r="M51" s="63" t="n">
        <v>8</v>
      </c>
      <c r="N51" s="32" t="inlineStr">
        <is>
          <t>Active</t>
        </is>
      </c>
      <c r="O51" s="32" t="n"/>
      <c r="P51" s="64" t="n"/>
      <c r="Q51" s="63" t="n"/>
      <c r="R51" s="63" t="n"/>
      <c r="S51" s="63"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59" t="n">
        <v>31.95</v>
      </c>
      <c r="H52" s="32" t="inlineStr">
        <is>
          <t>Helium 10 Xray, 2026-10-13</t>
        </is>
      </c>
      <c r="I52" s="60" t="n">
        <v>37.95</v>
      </c>
      <c r="J52" s="61" t="inlineStr">
        <is>
          <t>2026-03-30</t>
        </is>
      </c>
      <c r="K52" s="33" t="n">
        <v>15.37000000000001</v>
      </c>
      <c r="L52" s="62" t="n">
        <v>0.4050065876152834</v>
      </c>
      <c r="M52" s="63" t="n">
        <v>7</v>
      </c>
      <c r="N52" s="32" t="inlineStr">
        <is>
          <t>Active</t>
        </is>
      </c>
      <c r="O52" s="32" t="n"/>
      <c r="P52" s="64" t="n">
        <v>4.4</v>
      </c>
      <c r="Q52" s="63" t="n">
        <v>1080</v>
      </c>
      <c r="R52" s="63" t="n">
        <v>28101</v>
      </c>
      <c r="S52" s="63"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59" t="n">
        <v>31.95</v>
      </c>
      <c r="H53" s="32" t="inlineStr">
        <is>
          <t>Helium 10 Xray, 2026-10-13</t>
        </is>
      </c>
      <c r="I53" s="60" t="n">
        <v>31.95</v>
      </c>
      <c r="J53" s="61" t="inlineStr">
        <is>
          <t>2026-03-30</t>
        </is>
      </c>
      <c r="K53" s="33" t="n">
        <v>10.68</v>
      </c>
      <c r="L53" s="62" t="n">
        <v>0.3342723004694835</v>
      </c>
      <c r="M53" s="63" t="n">
        <v>7</v>
      </c>
      <c r="N53" s="32" t="inlineStr">
        <is>
          <t>Active</t>
        </is>
      </c>
      <c r="O53" s="32" t="n"/>
      <c r="P53" s="64" t="n">
        <v>4.4</v>
      </c>
      <c r="Q53" s="63" t="n">
        <v>1080</v>
      </c>
      <c r="R53" s="63" t="n">
        <v>28101</v>
      </c>
      <c r="S53" s="63"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59" t="n">
        <v>35.95</v>
      </c>
      <c r="H54" s="32" t="inlineStr">
        <is>
          <t>Helium 10 Xray, 2026-10-13</t>
        </is>
      </c>
      <c r="I54" s="60" t="n">
        <v>41.95</v>
      </c>
      <c r="J54" s="61" t="inlineStr">
        <is>
          <t>2026-03-30</t>
        </is>
      </c>
      <c r="K54" s="33" t="n">
        <v>16.40000000000001</v>
      </c>
      <c r="L54" s="62" t="n">
        <v>0.3909415971394518</v>
      </c>
      <c r="M54" s="63" t="n">
        <v>7</v>
      </c>
      <c r="N54" s="32" t="inlineStr">
        <is>
          <t>Active</t>
        </is>
      </c>
      <c r="O54" s="32" t="n"/>
      <c r="P54" s="64" t="n">
        <v>4.4</v>
      </c>
      <c r="Q54" s="63" t="n">
        <v>1080</v>
      </c>
      <c r="R54" s="63" t="n">
        <v>28101</v>
      </c>
      <c r="S54" s="63"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59" t="n">
        <v>35.95</v>
      </c>
      <c r="H55" s="32" t="inlineStr">
        <is>
          <t>Helium 10 Xray, 2026-10-13</t>
        </is>
      </c>
      <c r="I55" s="60" t="n">
        <v>35.95</v>
      </c>
      <c r="J55" s="61" t="inlineStr">
        <is>
          <t>2026-03-30</t>
        </is>
      </c>
      <c r="K55" s="33" t="n">
        <v>10.47</v>
      </c>
      <c r="L55" s="62" t="n">
        <v>0.2912378303198888</v>
      </c>
      <c r="M55" s="63" t="n">
        <v>7</v>
      </c>
      <c r="N55" s="32" t="inlineStr">
        <is>
          <t>Active</t>
        </is>
      </c>
      <c r="O55" s="32" t="n"/>
      <c r="P55" s="64" t="n">
        <v>4.4</v>
      </c>
      <c r="Q55" s="63" t="n">
        <v>1080</v>
      </c>
      <c r="R55" s="63" t="n">
        <v>28101</v>
      </c>
      <c r="S55" s="63"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59" t="n">
        <v>36.95</v>
      </c>
      <c r="H56" s="32" t="inlineStr">
        <is>
          <t>Helium 10 Xray, 2026-10-13</t>
        </is>
      </c>
      <c r="I56" s="60" t="n">
        <v>39.95</v>
      </c>
      <c r="J56" s="61" t="inlineStr">
        <is>
          <t>2026-03-30</t>
        </is>
      </c>
      <c r="K56" s="33" t="n">
        <v>16.97</v>
      </c>
      <c r="L56" s="62" t="n">
        <v>0.4247809762202754</v>
      </c>
      <c r="M56" s="63" t="n">
        <v>7</v>
      </c>
      <c r="N56" s="32" t="inlineStr">
        <is>
          <t>Active</t>
        </is>
      </c>
      <c r="O56" s="32" t="n"/>
      <c r="P56" s="64" t="n">
        <v>4.4</v>
      </c>
      <c r="Q56" s="63" t="n">
        <v>1080</v>
      </c>
      <c r="R56" s="63" t="n">
        <v>28101</v>
      </c>
      <c r="S56" s="63"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59" t="n">
        <v>31.95</v>
      </c>
      <c r="H57" s="32" t="inlineStr">
        <is>
          <t>Helium 10 Xray, 2026-10-13</t>
        </is>
      </c>
      <c r="I57" s="60" t="n">
        <v>31.95</v>
      </c>
      <c r="J57" s="61" t="inlineStr">
        <is>
          <t>2026-03-30</t>
        </is>
      </c>
      <c r="K57" s="33" t="n">
        <v>10.71</v>
      </c>
      <c r="L57" s="62" t="n">
        <v>0.3352112676056337</v>
      </c>
      <c r="M57" s="63" t="n">
        <v>6</v>
      </c>
      <c r="N57" s="32" t="inlineStr">
        <is>
          <t>Active</t>
        </is>
      </c>
      <c r="O57" s="32" t="n"/>
      <c r="P57" s="64" t="n">
        <v>4.4</v>
      </c>
      <c r="Q57" s="63" t="n">
        <v>1080</v>
      </c>
      <c r="R57" s="63" t="n">
        <v>28101</v>
      </c>
      <c r="S57" s="63"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59" t="n">
        <v>29.95</v>
      </c>
      <c r="H58" s="32" t="inlineStr">
        <is>
          <t>Helium 10 Xray, 2026-10-13</t>
        </is>
      </c>
      <c r="I58" s="60" t="n">
        <v>31.95</v>
      </c>
      <c r="J58" s="61" t="inlineStr">
        <is>
          <t>2026-03-30</t>
        </is>
      </c>
      <c r="K58" s="33" t="n">
        <v>9.469999999999999</v>
      </c>
      <c r="L58" s="62" t="n">
        <v>0.2964006259780907</v>
      </c>
      <c r="M58" s="63" t="n">
        <v>6</v>
      </c>
      <c r="N58" s="32" t="inlineStr">
        <is>
          <t>Active</t>
        </is>
      </c>
      <c r="O58" s="32" t="n"/>
      <c r="P58" s="64" t="n">
        <v>4.4</v>
      </c>
      <c r="Q58" s="63" t="n">
        <v>1080</v>
      </c>
      <c r="R58" s="63" t="n">
        <v>28101</v>
      </c>
      <c r="S58" s="63"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59" t="n">
        <v>31.95</v>
      </c>
      <c r="H59" s="32" t="inlineStr">
        <is>
          <t>Helium 10 Xray, 2026-10-13</t>
        </is>
      </c>
      <c r="I59" s="60" t="n">
        <v>31.95</v>
      </c>
      <c r="J59" s="61" t="inlineStr">
        <is>
          <t>2026-03-30</t>
        </is>
      </c>
      <c r="K59" s="33" t="n">
        <v>10.99</v>
      </c>
      <c r="L59" s="62" t="n">
        <v>0.3439749608763694</v>
      </c>
      <c r="M59" s="63" t="n">
        <v>6</v>
      </c>
      <c r="N59" s="32" t="inlineStr">
        <is>
          <t>Active</t>
        </is>
      </c>
      <c r="O59" s="32" t="n"/>
      <c r="P59" s="64" t="n">
        <v>4.4</v>
      </c>
      <c r="Q59" s="63" t="n">
        <v>1080</v>
      </c>
      <c r="R59" s="63" t="n">
        <v>28101</v>
      </c>
      <c r="S59" s="63"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59" t="n">
        <v>35.95</v>
      </c>
      <c r="H60" s="32" t="inlineStr">
        <is>
          <t>Helium 10 Xray, 2026-10-13</t>
        </is>
      </c>
      <c r="I60" s="60" t="n">
        <v>41.95</v>
      </c>
      <c r="J60" s="61" t="inlineStr">
        <is>
          <t>2026-03-30</t>
        </is>
      </c>
      <c r="K60" s="33" t="n">
        <v>16.5</v>
      </c>
      <c r="L60" s="62" t="n">
        <v>0.3933253873659119</v>
      </c>
      <c r="M60" s="63" t="n">
        <v>6</v>
      </c>
      <c r="N60" s="32" t="inlineStr">
        <is>
          <t>Active</t>
        </is>
      </c>
      <c r="O60" s="32" t="n"/>
      <c r="P60" s="64" t="n">
        <v>4.4</v>
      </c>
      <c r="Q60" s="63" t="n">
        <v>1080</v>
      </c>
      <c r="R60" s="63" t="n">
        <v>28109</v>
      </c>
      <c r="S60" s="63"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59" t="n">
        <v>29.95</v>
      </c>
      <c r="H61" s="32" t="inlineStr">
        <is>
          <t>Helium 10 Xray, 2026-10-13</t>
        </is>
      </c>
      <c r="I61" s="60" t="n">
        <v>34.95</v>
      </c>
      <c r="J61" s="61" t="inlineStr">
        <is>
          <t>2026-03-30</t>
        </is>
      </c>
      <c r="K61" s="33" t="n">
        <v>15.39</v>
      </c>
      <c r="L61" s="62" t="n">
        <v>0.4403433476394849</v>
      </c>
      <c r="M61" s="63" t="n">
        <v>6</v>
      </c>
      <c r="N61" s="32" t="inlineStr">
        <is>
          <t>Active</t>
        </is>
      </c>
      <c r="O61" s="32" t="n"/>
      <c r="P61" s="64" t="n">
        <v>4.4</v>
      </c>
      <c r="Q61" s="63" t="n">
        <v>1080</v>
      </c>
      <c r="R61" s="63" t="n">
        <v>28101</v>
      </c>
      <c r="S61" s="63"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59" t="n">
        <v>29.95</v>
      </c>
      <c r="H62" s="32" t="inlineStr">
        <is>
          <t>Helium 10 Xray, 2026-10-13</t>
        </is>
      </c>
      <c r="I62" s="60" t="n">
        <v>34.95</v>
      </c>
      <c r="J62" s="61" t="inlineStr">
        <is>
          <t>2026-03-30</t>
        </is>
      </c>
      <c r="K62" s="33" t="n">
        <v>16.63</v>
      </c>
      <c r="L62" s="62" t="n">
        <v>0.4758226037195993</v>
      </c>
      <c r="M62" s="63" t="n">
        <v>5</v>
      </c>
      <c r="N62" s="32" t="inlineStr">
        <is>
          <t>Active</t>
        </is>
      </c>
      <c r="O62" s="32" t="n"/>
      <c r="P62" s="64" t="n">
        <v>4.4</v>
      </c>
      <c r="Q62" s="63" t="n">
        <v>1080</v>
      </c>
      <c r="R62" s="63" t="n">
        <v>28101</v>
      </c>
      <c r="S62" s="63"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59" t="n">
        <v>29.95</v>
      </c>
      <c r="H63" s="32" t="inlineStr">
        <is>
          <t>Helium 10 Xray, 2026-10-13</t>
        </is>
      </c>
      <c r="I63" s="60" t="n">
        <v>29.95</v>
      </c>
      <c r="J63" s="61" t="inlineStr">
        <is>
          <t>2026-03-30</t>
        </is>
      </c>
      <c r="K63" s="33" t="n">
        <v>11.5</v>
      </c>
      <c r="L63" s="62" t="n">
        <v>0.3839732888146912</v>
      </c>
      <c r="M63" s="63" t="n">
        <v>5</v>
      </c>
      <c r="N63" s="32" t="inlineStr">
        <is>
          <t>Active</t>
        </is>
      </c>
      <c r="O63" s="32" t="n"/>
      <c r="P63" s="64" t="n">
        <v>4.4</v>
      </c>
      <c r="Q63" s="63" t="n">
        <v>1080</v>
      </c>
      <c r="R63" s="63" t="n">
        <v>28101</v>
      </c>
      <c r="S63" s="63"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59" t="n">
        <v>31.95</v>
      </c>
      <c r="H64" s="32" t="inlineStr">
        <is>
          <t>Helium 10 Xray, 2026-10-13</t>
        </is>
      </c>
      <c r="I64" s="60" t="n">
        <v>37.95</v>
      </c>
      <c r="J64" s="61" t="inlineStr">
        <is>
          <t>2026-03-30</t>
        </is>
      </c>
      <c r="K64" s="33" t="n">
        <v>17.04000000000001</v>
      </c>
      <c r="L64" s="62" t="n">
        <v>0.44901185770751</v>
      </c>
      <c r="M64" s="63" t="n">
        <v>4</v>
      </c>
      <c r="N64" s="32" t="inlineStr">
        <is>
          <t>Active</t>
        </is>
      </c>
      <c r="O64" s="32" t="n"/>
      <c r="P64" s="64" t="n">
        <v>4.4</v>
      </c>
      <c r="Q64" s="63" t="n">
        <v>1080</v>
      </c>
      <c r="R64" s="63" t="n">
        <v>28101</v>
      </c>
      <c r="S64" s="63"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59" t="n">
        <v>29.95</v>
      </c>
      <c r="H65" s="32" t="inlineStr">
        <is>
          <t>Helium 10 Xray, 2026-10-13</t>
        </is>
      </c>
      <c r="I65" s="60" t="n">
        <v>37.95</v>
      </c>
      <c r="J65" s="61" t="inlineStr">
        <is>
          <t>2026-03-30</t>
        </is>
      </c>
      <c r="K65" s="33" t="n">
        <v>15.19</v>
      </c>
      <c r="L65" s="62" t="n">
        <v>0.4002635046113309</v>
      </c>
      <c r="M65" s="63" t="n">
        <v>4</v>
      </c>
      <c r="N65" s="32" t="inlineStr">
        <is>
          <t>Active</t>
        </is>
      </c>
      <c r="O65" s="32" t="n"/>
      <c r="P65" s="64" t="n">
        <v>4.4</v>
      </c>
      <c r="Q65" s="63" t="n">
        <v>1080</v>
      </c>
      <c r="R65" s="63" t="n">
        <v>28101</v>
      </c>
      <c r="S65" s="63"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59" t="n">
        <v>33.95</v>
      </c>
      <c r="H66" s="32" t="inlineStr">
        <is>
          <t>Helium 10 Xray, 2026-10-13</t>
        </is>
      </c>
      <c r="I66" s="60" t="n">
        <v>33.95</v>
      </c>
      <c r="J66" s="61" t="inlineStr">
        <is>
          <t>2026-03-30</t>
        </is>
      </c>
      <c r="K66" s="33" t="n">
        <v>10.61</v>
      </c>
      <c r="L66" s="62" t="n">
        <v>0.312518409425626</v>
      </c>
      <c r="M66" s="63" t="n">
        <v>4</v>
      </c>
      <c r="N66" s="32" t="inlineStr">
        <is>
          <t>Active</t>
        </is>
      </c>
      <c r="O66" s="32" t="n"/>
      <c r="P66" s="64" t="n">
        <v>4.4</v>
      </c>
      <c r="Q66" s="63" t="n">
        <v>1080</v>
      </c>
      <c r="R66" s="63" t="n">
        <v>28101</v>
      </c>
      <c r="S66" s="63"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59" t="n">
        <v>29.95</v>
      </c>
      <c r="H67" s="32" t="inlineStr">
        <is>
          <t>Helium 10 Xray, 2026-10-13</t>
        </is>
      </c>
      <c r="I67" s="60" t="n">
        <v>29.95</v>
      </c>
      <c r="J67" s="61" t="inlineStr">
        <is>
          <t>2026-03-30</t>
        </is>
      </c>
      <c r="K67" s="33" t="n">
        <v>10.49</v>
      </c>
      <c r="L67" s="62" t="n">
        <v>0.3502504173622705</v>
      </c>
      <c r="M67" s="63" t="n">
        <v>4</v>
      </c>
      <c r="N67" s="32" t="inlineStr">
        <is>
          <t>Active</t>
        </is>
      </c>
      <c r="O67" s="32" t="n"/>
      <c r="P67" s="64" t="n">
        <v>4.4</v>
      </c>
      <c r="Q67" s="63" t="n">
        <v>1080</v>
      </c>
      <c r="R67" s="63" t="n">
        <v>28109</v>
      </c>
      <c r="S67" s="63"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59" t="n">
        <v>29.95</v>
      </c>
      <c r="H68" s="32" t="inlineStr">
        <is>
          <t>Helium 10 Xray, 2026-10-13</t>
        </is>
      </c>
      <c r="I68" s="60" t="n">
        <v>31.95</v>
      </c>
      <c r="J68" s="61" t="inlineStr">
        <is>
          <t>2026-03-30</t>
        </is>
      </c>
      <c r="K68" s="33" t="n">
        <v>10.16</v>
      </c>
      <c r="L68" s="62" t="n">
        <v>0.3179968701095461</v>
      </c>
      <c r="M68" s="63" t="n">
        <v>3</v>
      </c>
      <c r="N68" s="32" t="inlineStr">
        <is>
          <t>Active</t>
        </is>
      </c>
      <c r="O68" s="32" t="n"/>
      <c r="P68" s="64" t="n">
        <v>4.4</v>
      </c>
      <c r="Q68" s="63" t="n">
        <v>1080</v>
      </c>
      <c r="R68" s="63" t="n">
        <v>28101</v>
      </c>
      <c r="S68" s="63"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59" t="n">
        <v>29.95</v>
      </c>
      <c r="H69" s="32" t="inlineStr">
        <is>
          <t>Helium 10 Xray, 2026-10-13</t>
        </is>
      </c>
      <c r="I69" s="60" t="n">
        <v>33.95</v>
      </c>
      <c r="J69" s="61" t="inlineStr">
        <is>
          <t>2026-03-30</t>
        </is>
      </c>
      <c r="K69" s="33" t="n">
        <v>12.98</v>
      </c>
      <c r="L69" s="62" t="n">
        <v>0.3823269513991164</v>
      </c>
      <c r="M69" s="63" t="n">
        <v>3</v>
      </c>
      <c r="N69" s="32" t="inlineStr">
        <is>
          <t>Active</t>
        </is>
      </c>
      <c r="O69" s="32" t="n"/>
      <c r="P69" s="64" t="n">
        <v>4.4</v>
      </c>
      <c r="Q69" s="63" t="n">
        <v>1080</v>
      </c>
      <c r="R69" s="63" t="n">
        <v>28101</v>
      </c>
      <c r="S69" s="63"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59" t="n">
        <v>31.95</v>
      </c>
      <c r="H70" s="32" t="inlineStr">
        <is>
          <t>Helium 10 Xray, 2026-10-13</t>
        </is>
      </c>
      <c r="I70" s="60" t="n">
        <v>37.95</v>
      </c>
      <c r="J70" s="61" t="inlineStr">
        <is>
          <t>2026-03-30</t>
        </is>
      </c>
      <c r="K70" s="33" t="n">
        <v>15.98000000000001</v>
      </c>
      <c r="L70" s="62" t="n">
        <v>0.421080368906456</v>
      </c>
      <c r="M70" s="63" t="n">
        <v>3</v>
      </c>
      <c r="N70" s="32" t="inlineStr">
        <is>
          <t>Active</t>
        </is>
      </c>
      <c r="O70" s="32" t="n"/>
      <c r="P70" s="64" t="n">
        <v>4.4</v>
      </c>
      <c r="Q70" s="63" t="n">
        <v>1080</v>
      </c>
      <c r="R70" s="63" t="n">
        <v>28101</v>
      </c>
      <c r="S70" s="63"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59" t="n">
        <v>37.95</v>
      </c>
      <c r="H71" s="32" t="inlineStr">
        <is>
          <t>Helium 10 Xray, 2026-10-13</t>
        </is>
      </c>
      <c r="I71" s="60" t="n">
        <v>35.95</v>
      </c>
      <c r="J71" s="61" t="inlineStr">
        <is>
          <t>2026-03-30</t>
        </is>
      </c>
      <c r="K71" s="33" t="n">
        <v>17.08</v>
      </c>
      <c r="L71" s="62" t="n">
        <v>0.4751043115438109</v>
      </c>
      <c r="M71" s="63" t="n">
        <v>3</v>
      </c>
      <c r="N71" s="32" t="inlineStr">
        <is>
          <t>Active</t>
        </is>
      </c>
      <c r="O71" s="32" t="n"/>
      <c r="P71" s="64" t="n">
        <v>4.4</v>
      </c>
      <c r="Q71" s="63" t="n">
        <v>1080</v>
      </c>
      <c r="R71" s="63" t="n">
        <v>28101</v>
      </c>
      <c r="S71" s="63"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59" t="n">
        <v>29.95</v>
      </c>
      <c r="H72" s="32" t="inlineStr">
        <is>
          <t>Helium 10 Xray, 2026-10-13</t>
        </is>
      </c>
      <c r="I72" s="60" t="n">
        <v>35.95</v>
      </c>
      <c r="J72" s="61" t="inlineStr">
        <is>
          <t>2026-03-30</t>
        </is>
      </c>
      <c r="K72" s="33" t="n">
        <v>17.06</v>
      </c>
      <c r="L72" s="62" t="n">
        <v>0.474547983310153</v>
      </c>
      <c r="M72" s="63" t="n">
        <v>3</v>
      </c>
      <c r="N72" s="32" t="inlineStr">
        <is>
          <t>Active</t>
        </is>
      </c>
      <c r="O72" s="32" t="n"/>
      <c r="P72" s="64" t="n">
        <v>4.4</v>
      </c>
      <c r="Q72" s="63" t="n">
        <v>1080</v>
      </c>
      <c r="R72" s="63" t="n">
        <v>28101</v>
      </c>
      <c r="S72" s="63"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59" t="n">
        <v>29.95</v>
      </c>
      <c r="H73" s="32" t="inlineStr">
        <is>
          <t>Helium 10 Xray, 2026-10-13</t>
        </is>
      </c>
      <c r="I73" s="60" t="n">
        <v>31.95</v>
      </c>
      <c r="J73" s="61" t="inlineStr">
        <is>
          <t>2026-03-30</t>
        </is>
      </c>
      <c r="K73" s="33" t="n">
        <v>12.39</v>
      </c>
      <c r="L73" s="62" t="n">
        <v>0.3877934272300469</v>
      </c>
      <c r="M73" s="63" t="n">
        <v>3</v>
      </c>
      <c r="N73" s="32" t="inlineStr">
        <is>
          <t>Active</t>
        </is>
      </c>
      <c r="O73" s="32" t="n"/>
      <c r="P73" s="64" t="n">
        <v>4.4</v>
      </c>
      <c r="Q73" s="63" t="n">
        <v>1080</v>
      </c>
      <c r="R73" s="63" t="n">
        <v>28101</v>
      </c>
      <c r="S73" s="63"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59" t="n">
        <v>29.95</v>
      </c>
      <c r="H74" s="32" t="inlineStr">
        <is>
          <t>Helium 10 Xray, 2026-10-13</t>
        </is>
      </c>
      <c r="I74" s="60" t="n">
        <v>34.95</v>
      </c>
      <c r="J74" s="61" t="inlineStr">
        <is>
          <t>2026-03-30</t>
        </is>
      </c>
      <c r="K74" s="33" t="n">
        <v>15.42</v>
      </c>
      <c r="L74" s="62" t="n">
        <v>0.4412017167381974</v>
      </c>
      <c r="M74" s="63" t="n">
        <v>3</v>
      </c>
      <c r="N74" s="32" t="inlineStr">
        <is>
          <t>Active</t>
        </is>
      </c>
      <c r="O74" s="32" t="n"/>
      <c r="P74" s="64" t="n">
        <v>4.4</v>
      </c>
      <c r="Q74" s="63" t="n">
        <v>1080</v>
      </c>
      <c r="R74" s="63" t="n">
        <v>28101</v>
      </c>
      <c r="S74" s="63"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59" t="n">
        <v>29.95</v>
      </c>
      <c r="H75" s="32" t="inlineStr">
        <is>
          <t>Helium 10 Xray, 2026-10-13</t>
        </is>
      </c>
      <c r="I75" s="60" t="n">
        <v>35.95</v>
      </c>
      <c r="J75" s="61" t="inlineStr">
        <is>
          <t>2026-03-30</t>
        </is>
      </c>
      <c r="K75" s="33" t="n">
        <v>17.15</v>
      </c>
      <c r="L75" s="62" t="n">
        <v>0.4770514603616134</v>
      </c>
      <c r="M75" s="63" t="n">
        <v>3</v>
      </c>
      <c r="N75" s="32" t="inlineStr">
        <is>
          <t>Active</t>
        </is>
      </c>
      <c r="O75" s="32" t="n"/>
      <c r="P75" s="64" t="n">
        <v>4.4</v>
      </c>
      <c r="Q75" s="63" t="n">
        <v>1080</v>
      </c>
      <c r="R75" s="63" t="n">
        <v>28101</v>
      </c>
      <c r="S75" s="63"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59" t="n">
        <v>31.95</v>
      </c>
      <c r="H76" s="32" t="inlineStr">
        <is>
          <t>Helium 10 Xray, 2026-10-13</t>
        </is>
      </c>
      <c r="I76" s="60" t="n">
        <v>31.95</v>
      </c>
      <c r="J76" s="61" t="inlineStr">
        <is>
          <t>2026-03-30</t>
        </is>
      </c>
      <c r="K76" s="33" t="n">
        <v>10.26</v>
      </c>
      <c r="L76" s="62" t="n">
        <v>0.3211267605633802</v>
      </c>
      <c r="M76" s="63" t="n">
        <v>2</v>
      </c>
      <c r="N76" s="32" t="inlineStr">
        <is>
          <t>Active</t>
        </is>
      </c>
      <c r="O76" s="32" t="n"/>
      <c r="P76" s="64" t="n">
        <v>4.4</v>
      </c>
      <c r="Q76" s="63" t="n">
        <v>1080</v>
      </c>
      <c r="R76" s="63" t="n">
        <v>28109</v>
      </c>
      <c r="S76" s="63"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59" t="n">
        <v>31.95</v>
      </c>
      <c r="H77" s="32" t="inlineStr">
        <is>
          <t>Helium 10 Xray, 2026-10-13</t>
        </is>
      </c>
      <c r="I77" s="60" t="n">
        <v>31.95</v>
      </c>
      <c r="J77" s="61" t="inlineStr">
        <is>
          <t>2026-03-30</t>
        </is>
      </c>
      <c r="K77" s="33" t="n">
        <v>10.17</v>
      </c>
      <c r="L77" s="62" t="n">
        <v>0.3183098591549295</v>
      </c>
      <c r="M77" s="63" t="n">
        <v>2</v>
      </c>
      <c r="N77" s="32" t="inlineStr">
        <is>
          <t>Active</t>
        </is>
      </c>
      <c r="O77" s="32" t="n"/>
      <c r="P77" s="64" t="n">
        <v>4.4</v>
      </c>
      <c r="Q77" s="63" t="n">
        <v>1080</v>
      </c>
      <c r="R77" s="63" t="n">
        <v>28101</v>
      </c>
      <c r="S77" s="63"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0" t="n">
        <v>31.95</v>
      </c>
      <c r="J78" s="61" t="inlineStr">
        <is>
          <t>2026-03-30</t>
        </is>
      </c>
      <c r="K78" s="33" t="n">
        <v>10.12</v>
      </c>
      <c r="L78" s="62" t="n">
        <v>0.3167449139280125</v>
      </c>
      <c r="M78" s="63" t="n">
        <v>2</v>
      </c>
      <c r="N78" s="32" t="inlineStr">
        <is>
          <t>Active</t>
        </is>
      </c>
      <c r="O78" s="32" t="n"/>
      <c r="P78" s="64" t="n"/>
      <c r="Q78" s="63" t="n"/>
      <c r="R78" s="63" t="n"/>
      <c r="S78" s="63"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59" t="n">
        <v>31.95</v>
      </c>
      <c r="H79" s="32" t="inlineStr">
        <is>
          <t>Helium 10 Xray, 2026-10-13</t>
        </is>
      </c>
      <c r="I79" s="60" t="n">
        <v>33.95</v>
      </c>
      <c r="J79" s="61" t="inlineStr">
        <is>
          <t>2026-03-30</t>
        </is>
      </c>
      <c r="K79" s="33" t="n">
        <v>12.56</v>
      </c>
      <c r="L79" s="62" t="n">
        <v>0.3699558173784978</v>
      </c>
      <c r="M79" s="63" t="n">
        <v>2</v>
      </c>
      <c r="N79" s="32" t="inlineStr">
        <is>
          <t>Active</t>
        </is>
      </c>
      <c r="O79" s="32" t="n"/>
      <c r="P79" s="64" t="n">
        <v>4.4</v>
      </c>
      <c r="Q79" s="63" t="n">
        <v>1080</v>
      </c>
      <c r="R79" s="63" t="n">
        <v>28101</v>
      </c>
      <c r="S79" s="63"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59" t="n">
        <v>35.95</v>
      </c>
      <c r="H80" s="32" t="inlineStr">
        <is>
          <t>Helium 10 Xray, 2026-10-13</t>
        </is>
      </c>
      <c r="I80" s="60" t="n">
        <v>41.95</v>
      </c>
      <c r="J80" s="61" t="inlineStr">
        <is>
          <t>2026-03-30</t>
        </is>
      </c>
      <c r="K80" s="33" t="n">
        <v>15.41</v>
      </c>
      <c r="L80" s="62" t="n">
        <v>0.3673420738974971</v>
      </c>
      <c r="M80" s="63" t="n">
        <v>2</v>
      </c>
      <c r="N80" s="32" t="inlineStr">
        <is>
          <t>Active</t>
        </is>
      </c>
      <c r="O80" s="32" t="n"/>
      <c r="P80" s="64" t="n">
        <v>4.4</v>
      </c>
      <c r="Q80" s="63" t="n">
        <v>1080</v>
      </c>
      <c r="R80" s="63" t="n">
        <v>28109</v>
      </c>
      <c r="S80" s="63"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59" t="n">
        <v>33.95</v>
      </c>
      <c r="H81" s="32" t="inlineStr">
        <is>
          <t>Helium 10 Xray, 2026-10-13</t>
        </is>
      </c>
      <c r="I81" s="60" t="n">
        <v>39.95</v>
      </c>
      <c r="J81" s="61" t="inlineStr">
        <is>
          <t>2026-03-30</t>
        </is>
      </c>
      <c r="K81" s="33" t="n">
        <v>17.35</v>
      </c>
      <c r="L81" s="62" t="n">
        <v>0.4342928660826033</v>
      </c>
      <c r="M81" s="63" t="n">
        <v>2</v>
      </c>
      <c r="N81" s="32" t="inlineStr">
        <is>
          <t>Active</t>
        </is>
      </c>
      <c r="O81" s="32" t="n"/>
      <c r="P81" s="64" t="n">
        <v>4.4</v>
      </c>
      <c r="Q81" s="63" t="n">
        <v>1080</v>
      </c>
      <c r="R81" s="63" t="n">
        <v>28101</v>
      </c>
      <c r="S81" s="63"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59" t="n">
        <v>29.95</v>
      </c>
      <c r="H82" s="32" t="inlineStr">
        <is>
          <t>Helium 10 Xray, 2026-10-13</t>
        </is>
      </c>
      <c r="I82" s="60" t="n">
        <v>27.95</v>
      </c>
      <c r="J82" s="61" t="inlineStr">
        <is>
          <t>2026-03-30</t>
        </is>
      </c>
      <c r="K82" s="33" t="n">
        <v>8.909999999999997</v>
      </c>
      <c r="L82" s="62" t="n">
        <v>0.3187835420393559</v>
      </c>
      <c r="M82" s="63" t="n">
        <v>2</v>
      </c>
      <c r="N82" s="32" t="inlineStr">
        <is>
          <t>Active</t>
        </is>
      </c>
      <c r="O82" s="32" t="n"/>
      <c r="P82" s="64" t="n">
        <v>4.4</v>
      </c>
      <c r="Q82" s="63" t="n">
        <v>1080</v>
      </c>
      <c r="R82" s="63" t="n">
        <v>28101</v>
      </c>
      <c r="S82" s="63"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59" t="n">
        <v>29.95</v>
      </c>
      <c r="H83" s="32" t="inlineStr">
        <is>
          <t>Helium 10 Xray, 2026-10-13</t>
        </is>
      </c>
      <c r="I83" s="60" t="n">
        <v>35.95</v>
      </c>
      <c r="J83" s="61" t="inlineStr">
        <is>
          <t>2026-03-30</t>
        </is>
      </c>
      <c r="K83" s="33" t="n">
        <v>16.26</v>
      </c>
      <c r="L83" s="62" t="n">
        <v>0.4522948539638387</v>
      </c>
      <c r="M83" s="63" t="n">
        <v>2</v>
      </c>
      <c r="N83" s="32" t="inlineStr">
        <is>
          <t>Active</t>
        </is>
      </c>
      <c r="O83" s="32" t="n"/>
      <c r="P83" s="64" t="n">
        <v>4.4</v>
      </c>
      <c r="Q83" s="63" t="n">
        <v>1080</v>
      </c>
      <c r="R83" s="63" t="n">
        <v>28109</v>
      </c>
      <c r="S83" s="63"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59" t="n">
        <v>29.95</v>
      </c>
      <c r="H84" s="32" t="inlineStr">
        <is>
          <t>Helium 10 Xray, 2026-10-13</t>
        </is>
      </c>
      <c r="I84" s="60" t="n">
        <v>29.95</v>
      </c>
      <c r="J84" s="61" t="inlineStr">
        <is>
          <t>2026-03-30</t>
        </is>
      </c>
      <c r="K84" s="33" t="n">
        <v>11.34</v>
      </c>
      <c r="L84" s="62" t="n">
        <v>0.3786310517529216</v>
      </c>
      <c r="M84" s="63" t="n">
        <v>2</v>
      </c>
      <c r="N84" s="32" t="inlineStr">
        <is>
          <t>Active</t>
        </is>
      </c>
      <c r="O84" s="32" t="n"/>
      <c r="P84" s="64" t="n">
        <v>4.4</v>
      </c>
      <c r="Q84" s="63" t="n">
        <v>1080</v>
      </c>
      <c r="R84" s="63" t="n">
        <v>28101</v>
      </c>
      <c r="S84" s="63"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59" t="n">
        <v>31.95</v>
      </c>
      <c r="H85" s="32" t="inlineStr">
        <is>
          <t>Helium 10 Xray, 2026-10-13</t>
        </is>
      </c>
      <c r="I85" s="60" t="n">
        <v>31.95</v>
      </c>
      <c r="J85" s="61" t="inlineStr">
        <is>
          <t>2026-03-30</t>
        </is>
      </c>
      <c r="K85" s="33" t="n">
        <v>13.54</v>
      </c>
      <c r="L85" s="62" t="n">
        <v>0.4237871674491394</v>
      </c>
      <c r="M85" s="63" t="n">
        <v>2</v>
      </c>
      <c r="N85" s="32" t="inlineStr">
        <is>
          <t>Active</t>
        </is>
      </c>
      <c r="O85" s="32" t="n"/>
      <c r="P85" s="64" t="n">
        <v>4.4</v>
      </c>
      <c r="Q85" s="63" t="n">
        <v>1080</v>
      </c>
      <c r="R85" s="63" t="n">
        <v>28101</v>
      </c>
      <c r="S85" s="63"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59" t="n">
        <v>29.95</v>
      </c>
      <c r="H86" s="32" t="inlineStr">
        <is>
          <t>Helium 10 Xray, 2026-10-13</t>
        </is>
      </c>
      <c r="I86" s="60" t="n">
        <v>31.95</v>
      </c>
      <c r="J86" s="61" t="inlineStr">
        <is>
          <t>2026-03-30</t>
        </is>
      </c>
      <c r="K86" s="33" t="n">
        <v>11.96</v>
      </c>
      <c r="L86" s="62" t="n">
        <v>0.3743348982785603</v>
      </c>
      <c r="M86" s="63" t="n">
        <v>2</v>
      </c>
      <c r="N86" s="32" t="inlineStr">
        <is>
          <t>Active</t>
        </is>
      </c>
      <c r="O86" s="32" t="n"/>
      <c r="P86" s="64" t="n">
        <v>4.4</v>
      </c>
      <c r="Q86" s="63" t="n">
        <v>1080</v>
      </c>
      <c r="R86" s="63" t="n">
        <v>28101</v>
      </c>
      <c r="S86" s="63"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0" t="n">
        <v>37.95</v>
      </c>
      <c r="J87" s="61" t="inlineStr">
        <is>
          <t>2026-03-30</t>
        </is>
      </c>
      <c r="K87" s="33" t="n">
        <v>15.37000000000001</v>
      </c>
      <c r="L87" s="62" t="n">
        <v>0.4050065876152834</v>
      </c>
      <c r="M87" s="63" t="n">
        <v>1</v>
      </c>
      <c r="N87" s="32" t="inlineStr">
        <is>
          <t>Inactive</t>
        </is>
      </c>
      <c r="O87" s="32" t="n"/>
      <c r="P87" s="64" t="n"/>
      <c r="Q87" s="63" t="n"/>
      <c r="R87" s="63" t="n"/>
      <c r="S87" s="63"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59" t="n">
        <v>31.95</v>
      </c>
      <c r="H88" s="32" t="inlineStr">
        <is>
          <t>Helium 10 Xray, 2026-10-13</t>
        </is>
      </c>
      <c r="I88" s="60" t="n">
        <v>37.95</v>
      </c>
      <c r="J88" s="61" t="inlineStr">
        <is>
          <t>2026-03-30</t>
        </is>
      </c>
      <c r="K88" s="33" t="n">
        <v>15.22</v>
      </c>
      <c r="L88" s="62" t="n">
        <v>0.4010540184453228</v>
      </c>
      <c r="M88" s="63" t="n">
        <v>1</v>
      </c>
      <c r="N88" s="32" t="inlineStr">
        <is>
          <t>Active</t>
        </is>
      </c>
      <c r="O88" s="32" t="n"/>
      <c r="P88" s="64" t="n">
        <v>4.4</v>
      </c>
      <c r="Q88" s="63" t="n">
        <v>1080</v>
      </c>
      <c r="R88" s="63" t="n">
        <v>28101</v>
      </c>
      <c r="S88" s="63"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0" t="n">
        <v>35.95</v>
      </c>
      <c r="J89" s="61" t="inlineStr">
        <is>
          <t>2026-03-30</t>
        </is>
      </c>
      <c r="K89" s="33" t="n">
        <v>12.6</v>
      </c>
      <c r="L89" s="62" t="n">
        <v>0.3504867872044507</v>
      </c>
      <c r="M89" s="63" t="n">
        <v>1</v>
      </c>
      <c r="N89" s="32" t="inlineStr">
        <is>
          <t>Inactive</t>
        </is>
      </c>
      <c r="O89" s="32" t="n"/>
      <c r="P89" s="64" t="n"/>
      <c r="Q89" s="63" t="n"/>
      <c r="R89" s="63" t="n"/>
      <c r="S89" s="63"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0" t="n">
        <v>33.95</v>
      </c>
      <c r="J90" s="61" t="inlineStr">
        <is>
          <t>2026-03-30</t>
        </is>
      </c>
      <c r="K90" s="33" t="n">
        <v>12.02</v>
      </c>
      <c r="L90" s="62" t="n">
        <v>0.3540500736377026</v>
      </c>
      <c r="M90" s="63" t="n">
        <v>1</v>
      </c>
      <c r="N90" s="32" t="inlineStr">
        <is>
          <t>Inactive</t>
        </is>
      </c>
      <c r="O90" s="32" t="n"/>
      <c r="P90" s="64" t="n"/>
      <c r="Q90" s="63" t="n"/>
      <c r="R90" s="63" t="n"/>
      <c r="S90" s="63"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59" t="n">
        <v>29.95</v>
      </c>
      <c r="H91" s="32" t="inlineStr">
        <is>
          <t>Helium 10 Xray, 2026-10-13</t>
        </is>
      </c>
      <c r="I91" s="60" t="n">
        <v>34.95</v>
      </c>
      <c r="J91" s="61" t="inlineStr">
        <is>
          <t>2026-03-30</t>
        </is>
      </c>
      <c r="K91" s="33" t="n">
        <v>15.02</v>
      </c>
      <c r="L91" s="62" t="n">
        <v>0.4297567954220314</v>
      </c>
      <c r="M91" s="63" t="n">
        <v>1</v>
      </c>
      <c r="N91" s="32" t="inlineStr">
        <is>
          <t>Active</t>
        </is>
      </c>
      <c r="O91" s="32" t="n"/>
      <c r="P91" s="64" t="n">
        <v>4.4</v>
      </c>
      <c r="Q91" s="63" t="n">
        <v>1080</v>
      </c>
      <c r="R91" s="63" t="n">
        <v>28101</v>
      </c>
      <c r="S91" s="63"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59" t="n">
        <v>29.95</v>
      </c>
      <c r="H92" s="32" t="inlineStr">
        <is>
          <t>Helium 10 Xray, 2026-10-13</t>
        </is>
      </c>
      <c r="I92" s="60" t="n">
        <v>29.95</v>
      </c>
      <c r="J92" s="61" t="inlineStr">
        <is>
          <t>2026-03-30</t>
        </is>
      </c>
      <c r="K92" s="33" t="n">
        <v>10.24</v>
      </c>
      <c r="L92" s="62" t="n">
        <v>0.3419031719532554</v>
      </c>
      <c r="M92" s="63" t="n">
        <v>1</v>
      </c>
      <c r="N92" s="32" t="inlineStr">
        <is>
          <t>Active</t>
        </is>
      </c>
      <c r="O92" s="32" t="n"/>
      <c r="P92" s="64" t="n">
        <v>4.4</v>
      </c>
      <c r="Q92" s="63" t="n">
        <v>1080</v>
      </c>
      <c r="R92" s="63" t="n">
        <v>28101</v>
      </c>
      <c r="S92" s="63"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0" t="n">
        <v>31.95</v>
      </c>
      <c r="J93" s="61" t="inlineStr">
        <is>
          <t>2026-03-22</t>
        </is>
      </c>
      <c r="K93" s="33" t="n">
        <v>11.39</v>
      </c>
      <c r="L93" s="62" t="n">
        <v>0.3564945226917058</v>
      </c>
      <c r="M93" s="63" t="n"/>
      <c r="N93" s="32" t="inlineStr">
        <is>
          <t>Inactive</t>
        </is>
      </c>
      <c r="O93" s="32" t="n"/>
      <c r="P93" s="64" t="n"/>
      <c r="Q93" s="63" t="n"/>
      <c r="R93" s="63" t="n"/>
      <c r="S93" s="63"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0" t="n">
        <v>37.95</v>
      </c>
      <c r="J94" s="61" t="inlineStr">
        <is>
          <t>2026-03-30</t>
        </is>
      </c>
      <c r="K94" s="33" t="n">
        <v>15.61000000000001</v>
      </c>
      <c r="L94" s="62" t="n">
        <v>0.4113306982872202</v>
      </c>
      <c r="M94" s="63" t="n"/>
      <c r="N94" s="32" t="inlineStr">
        <is>
          <t>Inactive</t>
        </is>
      </c>
      <c r="O94" s="32" t="n"/>
      <c r="P94" s="64" t="n"/>
      <c r="Q94" s="63" t="n"/>
      <c r="R94" s="63" t="n"/>
      <c r="S94" s="63"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0" t="n">
        <v>31.95</v>
      </c>
      <c r="J95" s="61" t="inlineStr">
        <is>
          <t>2026-03-14</t>
        </is>
      </c>
      <c r="K95" s="33" t="n">
        <v>9.969999999999999</v>
      </c>
      <c r="L95" s="62" t="n">
        <v>0.3120500782472613</v>
      </c>
      <c r="M95" s="63" t="n"/>
      <c r="N95" s="32" t="inlineStr">
        <is>
          <t>Inactive</t>
        </is>
      </c>
      <c r="O95" s="32" t="n"/>
      <c r="P95" s="64" t="n"/>
      <c r="Q95" s="63" t="n"/>
      <c r="R95" s="63" t="n"/>
      <c r="S95" s="63"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0" t="n">
        <v>36.95</v>
      </c>
      <c r="J96" s="61" t="inlineStr">
        <is>
          <t>2026-03-30</t>
        </is>
      </c>
      <c r="K96" s="33" t="n">
        <v>12.78</v>
      </c>
      <c r="L96" s="62" t="n">
        <v>0.3458728010825441</v>
      </c>
      <c r="M96" s="63" t="n"/>
      <c r="N96" s="32" t="inlineStr">
        <is>
          <t>Inactive</t>
        </is>
      </c>
      <c r="O96" s="32" t="n"/>
      <c r="P96" s="64" t="n"/>
      <c r="Q96" s="63" t="n"/>
      <c r="R96" s="63" t="n"/>
      <c r="S96" s="63"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59" t="n">
        <v>39.95</v>
      </c>
      <c r="H97" s="32" t="inlineStr">
        <is>
          <t>Helium 10 Xray, 2026-10-13</t>
        </is>
      </c>
      <c r="I97" s="60" t="n">
        <v>37.95</v>
      </c>
      <c r="J97" s="61" t="inlineStr">
        <is>
          <t>2026-03-30</t>
        </is>
      </c>
      <c r="K97" s="33" t="n">
        <v>15.78000000000001</v>
      </c>
      <c r="L97" s="62" t="n">
        <v>0.415810276679842</v>
      </c>
      <c r="M97" s="63" t="n">
        <v>0</v>
      </c>
      <c r="N97" s="32" t="inlineStr">
        <is>
          <t>Active</t>
        </is>
      </c>
      <c r="O97" s="32" t="n"/>
      <c r="P97" s="64" t="n">
        <v>4.4</v>
      </c>
      <c r="Q97" s="63" t="n">
        <v>1080</v>
      </c>
      <c r="R97" s="63" t="n">
        <v>28101</v>
      </c>
      <c r="S97" s="63"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2" t="n"/>
      <c r="M98" s="63" t="n"/>
      <c r="N98" s="32" t="inlineStr">
        <is>
          <t>Inactive</t>
        </is>
      </c>
      <c r="O98" s="32" t="n"/>
      <c r="P98" s="64" t="n"/>
      <c r="Q98" s="63" t="n"/>
      <c r="R98" s="63" t="n"/>
      <c r="S98" s="63"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59" t="n">
        <v>29.95</v>
      </c>
      <c r="H99" s="32" t="inlineStr">
        <is>
          <t>Helium 10 Xray, 2026-10-13</t>
        </is>
      </c>
      <c r="I99" s="60" t="n">
        <v>36.95</v>
      </c>
      <c r="J99" s="61" t="inlineStr">
        <is>
          <t>2026-03-30</t>
        </is>
      </c>
      <c r="K99" s="33" t="n">
        <v>14.63</v>
      </c>
      <c r="L99" s="62" t="n">
        <v>0.3959404600811909</v>
      </c>
      <c r="M99" s="63" t="n">
        <v>0</v>
      </c>
      <c r="N99" s="32" t="inlineStr">
        <is>
          <t>Active</t>
        </is>
      </c>
      <c r="O99" s="32" t="n"/>
      <c r="P99" s="64" t="n">
        <v>4.4</v>
      </c>
      <c r="Q99" s="63" t="n">
        <v>1080</v>
      </c>
      <c r="R99" s="63" t="n">
        <v>28101</v>
      </c>
      <c r="S99" s="63"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0" t="n">
        <v>37.95</v>
      </c>
      <c r="J100" s="61" t="inlineStr">
        <is>
          <t>2026-03-30</t>
        </is>
      </c>
      <c r="K100" s="33" t="n">
        <v>16.38</v>
      </c>
      <c r="L100" s="62" t="n">
        <v>0.4316205533596838</v>
      </c>
      <c r="M100" s="63" t="n">
        <v>0</v>
      </c>
      <c r="N100" s="32" t="inlineStr">
        <is>
          <t>Inactive</t>
        </is>
      </c>
      <c r="O100" s="32" t="n"/>
      <c r="P100" s="64" t="n"/>
      <c r="Q100" s="63" t="n"/>
      <c r="R100" s="63" t="n"/>
      <c r="S100" s="63"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0" t="n">
        <v>35.95</v>
      </c>
      <c r="J101" s="61" t="inlineStr">
        <is>
          <t>2026-03-30</t>
        </is>
      </c>
      <c r="K101" s="33" t="n">
        <v>11.47</v>
      </c>
      <c r="L101" s="62" t="n">
        <v>0.3190542420027817</v>
      </c>
      <c r="M101" s="63" t="n">
        <v>0</v>
      </c>
      <c r="N101" s="32" t="inlineStr">
        <is>
          <t>Inactive</t>
        </is>
      </c>
      <c r="O101" s="32" t="n"/>
      <c r="P101" s="64" t="n"/>
      <c r="Q101" s="63" t="n"/>
      <c r="R101" s="63" t="n"/>
      <c r="S101" s="63"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0" t="n">
        <v>35.95</v>
      </c>
      <c r="J102" s="61" t="inlineStr">
        <is>
          <t>2026-03-30</t>
        </is>
      </c>
      <c r="K102" s="33" t="n">
        <v>10.56</v>
      </c>
      <c r="L102" s="62" t="n">
        <v>0.2937413073713491</v>
      </c>
      <c r="M102" s="63" t="n"/>
      <c r="N102" s="32" t="inlineStr">
        <is>
          <t>Inactive</t>
        </is>
      </c>
      <c r="O102" s="32" t="n"/>
      <c r="P102" s="64" t="n"/>
      <c r="Q102" s="63" t="n"/>
      <c r="R102" s="63" t="n"/>
      <c r="S102" s="63"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0" t="n">
        <v>35.95</v>
      </c>
      <c r="J103" s="61" t="inlineStr">
        <is>
          <t>2026-03-16</t>
        </is>
      </c>
      <c r="K103" s="33" t="n">
        <v>10.61</v>
      </c>
      <c r="L103" s="62" t="n">
        <v>0.2951321279554938</v>
      </c>
      <c r="M103" s="63" t="n"/>
      <c r="N103" s="32" t="inlineStr">
        <is>
          <t>Inactive</t>
        </is>
      </c>
      <c r="O103" s="32" t="n"/>
      <c r="P103" s="64" t="n"/>
      <c r="Q103" s="63" t="n"/>
      <c r="R103" s="63" t="n"/>
      <c r="S103" s="63"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0" t="n">
        <v>35.95</v>
      </c>
      <c r="J104" s="61" t="inlineStr">
        <is>
          <t>2026-03-30</t>
        </is>
      </c>
      <c r="K104" s="33" t="n">
        <v>10.14</v>
      </c>
      <c r="L104" s="62" t="n">
        <v>0.2820584144645341</v>
      </c>
      <c r="M104" s="63" t="n"/>
      <c r="N104" s="32" t="inlineStr">
        <is>
          <t>Inactive</t>
        </is>
      </c>
      <c r="O104" s="32" t="n"/>
      <c r="P104" s="64" t="n"/>
      <c r="Q104" s="63" t="n"/>
      <c r="R104" s="63" t="n"/>
      <c r="S104" s="63"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0" t="n">
        <v>37.95</v>
      </c>
      <c r="J105" s="61" t="inlineStr">
        <is>
          <t>2026-02-28</t>
        </is>
      </c>
      <c r="K105" s="33" t="n">
        <v>12.31</v>
      </c>
      <c r="L105" s="62" t="n">
        <v>0.3243741765480897</v>
      </c>
      <c r="M105" s="63" t="n"/>
      <c r="N105" s="32" t="inlineStr">
        <is>
          <t>Inactive</t>
        </is>
      </c>
      <c r="O105" s="32" t="n"/>
      <c r="P105" s="64" t="n"/>
      <c r="Q105" s="63" t="n"/>
      <c r="R105" s="63" t="n"/>
      <c r="S105" s="63"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0" t="n">
        <v>35.95</v>
      </c>
      <c r="J106" s="61" t="inlineStr">
        <is>
          <t>2026-03-30</t>
        </is>
      </c>
      <c r="K106" s="33" t="n">
        <v>10.98</v>
      </c>
      <c r="L106" s="62" t="n">
        <v>0.3054242002781641</v>
      </c>
      <c r="M106" s="63" t="n">
        <v>0</v>
      </c>
      <c r="N106" s="32" t="inlineStr">
        <is>
          <t>Inactive</t>
        </is>
      </c>
      <c r="O106" s="32" t="n"/>
      <c r="P106" s="64" t="n"/>
      <c r="Q106" s="63" t="n"/>
      <c r="R106" s="63" t="n"/>
      <c r="S106" s="63"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0" t="n">
        <v>33.95</v>
      </c>
      <c r="J107" s="61" t="inlineStr">
        <is>
          <t>2026-03-30</t>
        </is>
      </c>
      <c r="K107" s="33" t="n">
        <v>11.81</v>
      </c>
      <c r="L107" s="62" t="n">
        <v>0.3478645066273933</v>
      </c>
      <c r="M107" s="63" t="n"/>
      <c r="N107" s="32" t="inlineStr">
        <is>
          <t>Inactive</t>
        </is>
      </c>
      <c r="O107" s="32" t="n"/>
      <c r="P107" s="64" t="n"/>
      <c r="Q107" s="63" t="n"/>
      <c r="R107" s="63" t="n"/>
      <c r="S107" s="63"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0" t="n">
        <v>33.95</v>
      </c>
      <c r="J108" s="61" t="inlineStr">
        <is>
          <t>2026-03-30</t>
        </is>
      </c>
      <c r="K108" s="33" t="n">
        <v>12.7</v>
      </c>
      <c r="L108" s="62" t="n">
        <v>0.3740795287187041</v>
      </c>
      <c r="M108" s="63" t="n"/>
      <c r="N108" s="32" t="inlineStr">
        <is>
          <t>Inactive</t>
        </is>
      </c>
      <c r="O108" s="32" t="n"/>
      <c r="P108" s="64" t="n"/>
      <c r="Q108" s="63" t="n"/>
      <c r="R108" s="63" t="n"/>
      <c r="S108" s="63"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0" t="n">
        <v>39.95</v>
      </c>
      <c r="J109" s="61" t="inlineStr">
        <is>
          <t>2026-03-30</t>
        </is>
      </c>
      <c r="K109" s="33" t="n">
        <v>15.93</v>
      </c>
      <c r="L109" s="62" t="n">
        <v>0.3987484355444305</v>
      </c>
      <c r="M109" s="63" t="n"/>
      <c r="N109" s="32" t="inlineStr">
        <is>
          <t>Inactive</t>
        </is>
      </c>
      <c r="O109" s="32" t="n"/>
      <c r="P109" s="64" t="n"/>
      <c r="Q109" s="63" t="n"/>
      <c r="R109" s="63" t="n"/>
      <c r="S109" s="63"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0" t="n">
        <v>33.95</v>
      </c>
      <c r="J110" s="61" t="inlineStr">
        <is>
          <t>2026-03-30</t>
        </is>
      </c>
      <c r="K110" s="33" t="n">
        <v>11.96</v>
      </c>
      <c r="L110" s="62" t="n">
        <v>0.3522827687776142</v>
      </c>
      <c r="M110" s="63" t="n">
        <v>0</v>
      </c>
      <c r="N110" s="32" t="inlineStr">
        <is>
          <t>Inactive</t>
        </is>
      </c>
      <c r="O110" s="32" t="n"/>
      <c r="P110" s="64" t="n"/>
      <c r="Q110" s="63" t="n"/>
      <c r="R110" s="63" t="n"/>
      <c r="S110" s="63"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0" t="n">
        <v>33.95</v>
      </c>
      <c r="J111" s="61" t="inlineStr">
        <is>
          <t>2026-03-30</t>
        </is>
      </c>
      <c r="K111" s="33" t="n">
        <v>12.99</v>
      </c>
      <c r="L111" s="62" t="n">
        <v>0.3826215022091312</v>
      </c>
      <c r="M111" s="63" t="n"/>
      <c r="N111" s="32" t="inlineStr">
        <is>
          <t>Inactive</t>
        </is>
      </c>
      <c r="O111" s="32" t="n"/>
      <c r="P111" s="64" t="n"/>
      <c r="Q111" s="63" t="n"/>
      <c r="R111" s="63" t="n"/>
      <c r="S111" s="63"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2" t="n"/>
      <c r="M112" s="63" t="n"/>
      <c r="N112" s="32" t="inlineStr">
        <is>
          <t>Inactive</t>
        </is>
      </c>
      <c r="O112" s="32" t="n"/>
      <c r="P112" s="64" t="n"/>
      <c r="Q112" s="63" t="n"/>
      <c r="R112" s="63" t="n"/>
      <c r="S112" s="63"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0" t="n">
        <v>33.95</v>
      </c>
      <c r="J113" s="61" t="inlineStr">
        <is>
          <t>2026-03-30</t>
        </is>
      </c>
      <c r="K113" s="33" t="n">
        <v>12.34</v>
      </c>
      <c r="L113" s="62" t="n">
        <v>0.3634756995581739</v>
      </c>
      <c r="M113" s="63" t="n"/>
      <c r="N113" s="32" t="inlineStr">
        <is>
          <t>Inactive</t>
        </is>
      </c>
      <c r="O113" s="32" t="n"/>
      <c r="P113" s="64" t="n"/>
      <c r="Q113" s="63" t="n"/>
      <c r="R113" s="63" t="n"/>
      <c r="S113" s="63"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0" t="n">
        <v>33.95</v>
      </c>
      <c r="J114" s="61" t="inlineStr">
        <is>
          <t>2026-03-30</t>
        </is>
      </c>
      <c r="K114" s="33" t="n">
        <v>12.58</v>
      </c>
      <c r="L114" s="62" t="n">
        <v>0.3705449189985273</v>
      </c>
      <c r="M114" s="63" t="n"/>
      <c r="N114" s="32" t="inlineStr">
        <is>
          <t>Inactive</t>
        </is>
      </c>
      <c r="O114" s="32" t="n"/>
      <c r="P114" s="64" t="n"/>
      <c r="Q114" s="63" t="n"/>
      <c r="R114" s="63" t="n"/>
      <c r="S114" s="63"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2" t="n"/>
      <c r="M115" s="63" t="n"/>
      <c r="N115" s="32" t="inlineStr">
        <is>
          <t>Inactive</t>
        </is>
      </c>
      <c r="O115" s="32" t="n"/>
      <c r="P115" s="64" t="n"/>
      <c r="Q115" s="63" t="n"/>
      <c r="R115" s="63" t="n"/>
      <c r="S115" s="63"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0" t="n">
        <v>37.95</v>
      </c>
      <c r="J116" s="61" t="inlineStr">
        <is>
          <t>2026-03-30</t>
        </is>
      </c>
      <c r="K116" s="33" t="n">
        <v>15.12000000000001</v>
      </c>
      <c r="L116" s="62" t="n">
        <v>0.398418972332016</v>
      </c>
      <c r="M116" s="63" t="n"/>
      <c r="N116" s="32" t="inlineStr">
        <is>
          <t>Inactive</t>
        </is>
      </c>
      <c r="O116" s="32" t="n"/>
      <c r="P116" s="64" t="n"/>
      <c r="Q116" s="63" t="n"/>
      <c r="R116" s="63" t="n"/>
      <c r="S116" s="63"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2" t="n"/>
      <c r="M117" s="63" t="n"/>
      <c r="N117" s="32" t="inlineStr">
        <is>
          <t>Inactive</t>
        </is>
      </c>
      <c r="O117" s="32" t="n"/>
      <c r="P117" s="64" t="n"/>
      <c r="Q117" s="63" t="n"/>
      <c r="R117" s="63" t="n"/>
      <c r="S117" s="63"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59" t="n">
        <v>33.95</v>
      </c>
      <c r="H118" s="32" t="inlineStr">
        <is>
          <t>Helium 10 Xray, 2026-10-13</t>
        </is>
      </c>
      <c r="I118" s="60" t="n">
        <v>33.95</v>
      </c>
      <c r="J118" s="61" t="inlineStr">
        <is>
          <t>2026-03-30</t>
        </is>
      </c>
      <c r="K118" s="33" t="n">
        <v>10.13</v>
      </c>
      <c r="L118" s="62" t="n">
        <v>0.298379970544919</v>
      </c>
      <c r="M118" s="63" t="n">
        <v>0</v>
      </c>
      <c r="N118" s="32" t="inlineStr">
        <is>
          <t>Active</t>
        </is>
      </c>
      <c r="O118" s="32" t="n"/>
      <c r="P118" s="64" t="n">
        <v>4.4</v>
      </c>
      <c r="Q118" s="63" t="n">
        <v>1080</v>
      </c>
      <c r="R118" s="63" t="n">
        <v>28101</v>
      </c>
      <c r="S118" s="63"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0" t="n">
        <v>33.95</v>
      </c>
      <c r="J119" s="61" t="inlineStr">
        <is>
          <t>2026-03-30</t>
        </is>
      </c>
      <c r="K119" s="33" t="n">
        <v>7.850000000000001</v>
      </c>
      <c r="L119" s="62" t="n">
        <v>0.2312223858615611</v>
      </c>
      <c r="M119" s="63" t="n"/>
      <c r="N119" s="32" t="inlineStr">
        <is>
          <t>Inactive</t>
        </is>
      </c>
      <c r="O119" s="32" t="n"/>
      <c r="P119" s="64" t="n"/>
      <c r="Q119" s="63" t="n"/>
      <c r="R119" s="63" t="n"/>
      <c r="S119" s="63"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0" t="n">
        <v>33.95</v>
      </c>
      <c r="J120" s="61" t="inlineStr">
        <is>
          <t>2026-03-30</t>
        </is>
      </c>
      <c r="K120" s="33" t="n">
        <v>10.47</v>
      </c>
      <c r="L120" s="62" t="n">
        <v>0.3083946980854198</v>
      </c>
      <c r="M120" s="63" t="n"/>
      <c r="N120" s="32" t="inlineStr">
        <is>
          <t>Inactive</t>
        </is>
      </c>
      <c r="O120" s="32" t="n"/>
      <c r="P120" s="64" t="n"/>
      <c r="Q120" s="63" t="n"/>
      <c r="R120" s="63" t="n"/>
      <c r="S120" s="63"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0" t="n">
        <v>33.95</v>
      </c>
      <c r="J121" s="61" t="inlineStr">
        <is>
          <t>2026-03-30</t>
        </is>
      </c>
      <c r="K121" s="33" t="n">
        <v>9.440000000000001</v>
      </c>
      <c r="L121" s="62" t="n">
        <v>0.2780559646539028</v>
      </c>
      <c r="M121" s="63" t="n"/>
      <c r="N121" s="32" t="inlineStr">
        <is>
          <t>Inactive</t>
        </is>
      </c>
      <c r="O121" s="32" t="n"/>
      <c r="P121" s="64" t="n"/>
      <c r="Q121" s="63" t="n"/>
      <c r="R121" s="63" t="n"/>
      <c r="S121" s="63"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0" t="n">
        <v>33.95</v>
      </c>
      <c r="J122" s="61" t="inlineStr">
        <is>
          <t>2026-03-30</t>
        </is>
      </c>
      <c r="K122" s="33" t="n">
        <v>12.57</v>
      </c>
      <c r="L122" s="62" t="n">
        <v>0.3702503681885125</v>
      </c>
      <c r="M122" s="63" t="n"/>
      <c r="N122" s="32" t="inlineStr">
        <is>
          <t>Inactive</t>
        </is>
      </c>
      <c r="O122" s="32" t="n"/>
      <c r="P122" s="64" t="n"/>
      <c r="Q122" s="63" t="n"/>
      <c r="R122" s="63" t="n"/>
      <c r="S122" s="63"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0" t="n">
        <v>29.95</v>
      </c>
      <c r="J123" s="61" t="inlineStr">
        <is>
          <t>2026-03-30</t>
        </is>
      </c>
      <c r="K123" s="33" t="n">
        <v>10.53</v>
      </c>
      <c r="L123" s="62" t="n">
        <v>0.3515859766277128</v>
      </c>
      <c r="M123" s="63" t="n"/>
      <c r="N123" s="32" t="inlineStr">
        <is>
          <t>Inactive</t>
        </is>
      </c>
      <c r="O123" s="32" t="n"/>
      <c r="P123" s="64" t="n"/>
      <c r="Q123" s="63" t="n"/>
      <c r="R123" s="63" t="n"/>
      <c r="S123" s="63"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0" t="n">
        <v>35.95</v>
      </c>
      <c r="J124" s="61" t="inlineStr">
        <is>
          <t>2026-03-30</t>
        </is>
      </c>
      <c r="K124" s="33" t="n">
        <v>16.85</v>
      </c>
      <c r="L124" s="62" t="n">
        <v>0.4687065368567455</v>
      </c>
      <c r="M124" s="63" t="n"/>
      <c r="N124" s="32" t="inlineStr">
        <is>
          <t>Inactive</t>
        </is>
      </c>
      <c r="O124" s="32" t="n"/>
      <c r="P124" s="64" t="n"/>
      <c r="Q124" s="63" t="n"/>
      <c r="R124" s="63" t="n"/>
      <c r="S124" s="63"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59" t="n">
        <v>29.95</v>
      </c>
      <c r="H125" s="32" t="inlineStr">
        <is>
          <t>Helium 10 Xray, 2026-10-13</t>
        </is>
      </c>
      <c r="I125" s="60" t="n">
        <v>29.95</v>
      </c>
      <c r="J125" s="61" t="inlineStr">
        <is>
          <t>2026-03-30</t>
        </is>
      </c>
      <c r="K125" s="33" t="n">
        <v>12.26</v>
      </c>
      <c r="L125" s="62" t="n">
        <v>0.4093489148580968</v>
      </c>
      <c r="M125" s="63" t="n">
        <v>0</v>
      </c>
      <c r="N125" s="32" t="inlineStr">
        <is>
          <t>Active</t>
        </is>
      </c>
      <c r="O125" s="32" t="n"/>
      <c r="P125" s="64" t="n">
        <v>4.4</v>
      </c>
      <c r="Q125" s="63" t="n">
        <v>1080</v>
      </c>
      <c r="R125" s="63" t="n">
        <v>28101</v>
      </c>
      <c r="S125" s="63"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59" t="n">
        <v>36.95</v>
      </c>
      <c r="H126" s="32" t="inlineStr">
        <is>
          <t>Helium 10 Xray, 2026-10-13</t>
        </is>
      </c>
      <c r="I126" s="60" t="n">
        <v>29.95</v>
      </c>
      <c r="J126" s="61" t="inlineStr">
        <is>
          <t>2026-03-30</t>
        </is>
      </c>
      <c r="K126" s="33" t="n">
        <v>11.12</v>
      </c>
      <c r="L126" s="62" t="n">
        <v>0.3712854757929883</v>
      </c>
      <c r="M126" s="63" t="n">
        <v>0</v>
      </c>
      <c r="N126" s="32" t="inlineStr">
        <is>
          <t>Active</t>
        </is>
      </c>
      <c r="O126" s="32" t="n"/>
      <c r="P126" s="64" t="n">
        <v>4.4</v>
      </c>
      <c r="Q126" s="63" t="n">
        <v>1080</v>
      </c>
      <c r="R126" s="63" t="n">
        <v>28101</v>
      </c>
      <c r="S126" s="63"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59" t="n">
        <v>29.95</v>
      </c>
      <c r="H127" s="32" t="inlineStr">
        <is>
          <t>Helium 10 Xray, 2026-10-13</t>
        </is>
      </c>
      <c r="I127" s="60" t="n">
        <v>35.95</v>
      </c>
      <c r="J127" s="61" t="inlineStr">
        <is>
          <t>2026-03-30</t>
        </is>
      </c>
      <c r="K127" s="33" t="n">
        <v>16.98</v>
      </c>
      <c r="L127" s="62" t="n">
        <v>0.4723226703755216</v>
      </c>
      <c r="M127" s="63" t="n">
        <v>0</v>
      </c>
      <c r="N127" s="32" t="inlineStr">
        <is>
          <t>Active</t>
        </is>
      </c>
      <c r="O127" s="32" t="n"/>
      <c r="P127" s="64" t="n">
        <v>4.4</v>
      </c>
      <c r="Q127" s="63" t="n">
        <v>1080</v>
      </c>
      <c r="R127" s="63" t="n">
        <v>28101</v>
      </c>
      <c r="S127" s="63"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0" t="n">
        <v>31.95</v>
      </c>
      <c r="J128" s="61" t="inlineStr">
        <is>
          <t>2026-03-20</t>
        </is>
      </c>
      <c r="K128" s="33" t="n">
        <v>12.3</v>
      </c>
      <c r="L128" s="62" t="n">
        <v>0.3849765258215963</v>
      </c>
      <c r="M128" s="63" t="n"/>
      <c r="N128" s="32" t="inlineStr">
        <is>
          <t>Inactive</t>
        </is>
      </c>
      <c r="O128" s="32" t="n"/>
      <c r="P128" s="64" t="n"/>
      <c r="Q128" s="63" t="n"/>
      <c r="R128" s="63" t="n"/>
      <c r="S128" s="63"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59" t="n">
        <v>29.95</v>
      </c>
      <c r="H129" s="32" t="inlineStr">
        <is>
          <t>Helium 10 Xray, 2026-10-13</t>
        </is>
      </c>
      <c r="I129" s="60" t="n">
        <v>33.95</v>
      </c>
      <c r="J129" s="61" t="inlineStr">
        <is>
          <t>2026-03-30</t>
        </is>
      </c>
      <c r="K129" s="33" t="n">
        <v>12.1</v>
      </c>
      <c r="L129" s="62" t="n">
        <v>0.3564064801178205</v>
      </c>
      <c r="M129" s="63" t="n">
        <v>0</v>
      </c>
      <c r="N129" s="32" t="inlineStr">
        <is>
          <t>Active</t>
        </is>
      </c>
      <c r="O129" s="32" t="n"/>
      <c r="P129" s="64" t="n">
        <v>4.4</v>
      </c>
      <c r="Q129" s="63" t="n">
        <v>1080</v>
      </c>
      <c r="R129" s="63" t="n">
        <v>28101</v>
      </c>
      <c r="S129" s="63"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0" t="n">
        <v>31.95</v>
      </c>
      <c r="J130" s="61" t="inlineStr">
        <is>
          <t>2026-03-30</t>
        </is>
      </c>
      <c r="K130" s="33" t="n">
        <v>12.3</v>
      </c>
      <c r="L130" s="62" t="n">
        <v>0.3849765258215963</v>
      </c>
      <c r="M130" s="63" t="n">
        <v>0</v>
      </c>
      <c r="N130" s="32" t="inlineStr">
        <is>
          <t>Inactive</t>
        </is>
      </c>
      <c r="O130" s="32" t="n"/>
      <c r="P130" s="64" t="n"/>
      <c r="Q130" s="63" t="n"/>
      <c r="R130" s="63" t="n"/>
      <c r="S130" s="63"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59" t="n">
        <v>31.95</v>
      </c>
      <c r="H131" s="32" t="inlineStr">
        <is>
          <t>Helium 10 Xray, 2026-10-13</t>
        </is>
      </c>
      <c r="I131" s="60" t="n">
        <v>31.95</v>
      </c>
      <c r="J131" s="61" t="inlineStr">
        <is>
          <t>2026-03-30</t>
        </is>
      </c>
      <c r="K131" s="33" t="n">
        <v>12.3</v>
      </c>
      <c r="L131" s="62" t="n">
        <v>0.3849765258215963</v>
      </c>
      <c r="M131" s="63" t="n">
        <v>0</v>
      </c>
      <c r="N131" s="32" t="inlineStr">
        <is>
          <t>Active</t>
        </is>
      </c>
      <c r="O131" s="32" t="n"/>
      <c r="P131" s="64" t="n">
        <v>4.4</v>
      </c>
      <c r="Q131" s="63" t="n">
        <v>1080</v>
      </c>
      <c r="R131" s="63" t="n">
        <v>28101</v>
      </c>
      <c r="S131" s="63"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59" t="n">
        <v>29.95</v>
      </c>
      <c r="H132" s="32" t="inlineStr">
        <is>
          <t>Helium 10 Xray, 2026-10-13</t>
        </is>
      </c>
      <c r="I132" s="60" t="n">
        <v>31.95</v>
      </c>
      <c r="J132" s="61" t="inlineStr">
        <is>
          <t>2026-03-30</t>
        </is>
      </c>
      <c r="K132" s="33" t="n">
        <v>12.3</v>
      </c>
      <c r="L132" s="62" t="n">
        <v>0.3849765258215963</v>
      </c>
      <c r="M132" s="63" t="n">
        <v>0</v>
      </c>
      <c r="N132" s="32" t="inlineStr">
        <is>
          <t>Active</t>
        </is>
      </c>
      <c r="O132" s="32" t="n"/>
      <c r="P132" s="64" t="n">
        <v>4.4</v>
      </c>
      <c r="Q132" s="63" t="n">
        <v>1080</v>
      </c>
      <c r="R132" s="63" t="n">
        <v>28101</v>
      </c>
      <c r="S132" s="63"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59" t="n">
        <v>34.95</v>
      </c>
      <c r="H133" s="32" t="inlineStr">
        <is>
          <t>Helium 10 Xray, 2026-10-13</t>
        </is>
      </c>
      <c r="I133" s="60" t="n">
        <v>34.95</v>
      </c>
      <c r="J133" s="61" t="inlineStr">
        <is>
          <t>2026-03-30</t>
        </is>
      </c>
      <c r="K133" s="33" t="n">
        <v>14.24</v>
      </c>
      <c r="L133" s="62" t="n">
        <v>0.4074391988555078</v>
      </c>
      <c r="M133" s="63" t="n">
        <v>0</v>
      </c>
      <c r="N133" s="32" t="inlineStr">
        <is>
          <t>Active</t>
        </is>
      </c>
      <c r="O133" s="32" t="n"/>
      <c r="P133" s="64" t="n">
        <v>4.4</v>
      </c>
      <c r="Q133" s="63" t="n">
        <v>1080</v>
      </c>
      <c r="R133" s="63" t="n">
        <v>28101</v>
      </c>
      <c r="S133" s="63"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59" t="n">
        <v>29.95</v>
      </c>
      <c r="H134" s="32" t="inlineStr">
        <is>
          <t>Helium 10 Xray, 2026-10-13</t>
        </is>
      </c>
      <c r="I134" s="60" t="n">
        <v>34.95</v>
      </c>
      <c r="J134" s="61" t="inlineStr">
        <is>
          <t>2026-03-30</t>
        </is>
      </c>
      <c r="K134" s="33" t="n">
        <v>14.24</v>
      </c>
      <c r="L134" s="62" t="n">
        <v>0.4074391988555078</v>
      </c>
      <c r="M134" s="63" t="n">
        <v>0</v>
      </c>
      <c r="N134" s="32" t="inlineStr">
        <is>
          <t>Active</t>
        </is>
      </c>
      <c r="O134" s="32" t="n"/>
      <c r="P134" s="64" t="n">
        <v>4.4</v>
      </c>
      <c r="Q134" s="63" t="n">
        <v>1080</v>
      </c>
      <c r="R134" s="63" t="n">
        <v>28101</v>
      </c>
      <c r="S134" s="63" t="n">
        <v>15</v>
      </c>
      <c r="T134" s="32" t="n"/>
    </row>
    <row r="136" ht="20" customHeight="1">
      <c r="A136" s="53" t="inlineStr">
        <is>
          <t>3 · OUR BFCM 2025 RESULT &amp; EVENT VISIBILITY</t>
        </is>
      </c>
    </row>
    <row r="137">
      <c r="A137" s="66" t="inlineStr">
        <is>
          <t>Window</t>
        </is>
      </c>
      <c r="B137" s="67" t="n"/>
      <c r="C137" s="68" t="n"/>
      <c r="D137" s="66" t="inlineStr">
        <is>
          <t>Ad spend</t>
        </is>
      </c>
      <c r="E137" s="66" t="inlineStr">
        <is>
          <t>Ad sales</t>
        </is>
      </c>
      <c r="F137" s="66" t="inlineStr">
        <is>
          <t>ACoS</t>
        </is>
      </c>
      <c r="G137" s="66" t="inlineStr">
        <is>
          <t>TACoS</t>
        </is>
      </c>
      <c r="H137" s="66" t="inlineStr">
        <is>
          <t>Total sales (derived)</t>
        </is>
      </c>
      <c r="J137" s="66" t="inlineStr">
        <is>
          <t>Ad orders</t>
        </is>
      </c>
      <c r="K137" s="66" t="inlineStr">
        <is>
          <t>CVR</t>
        </is>
      </c>
    </row>
    <row r="138">
      <c r="A138" s="69" t="inlineStr">
        <is>
          <t>Pre-event Oct 21 - Nov 19, 2025 (30d)</t>
        </is>
      </c>
      <c r="B138" s="67" t="n"/>
      <c r="C138" s="68" t="n"/>
      <c r="D138" s="70" t="n">
        <v>6434.679999999999</v>
      </c>
      <c r="E138" s="70" t="n">
        <v>14133.92</v>
      </c>
      <c r="F138" s="71" t="n">
        <v>45.5</v>
      </c>
      <c r="G138" s="71" t="n">
        <v>18.33916168620376</v>
      </c>
      <c r="H138" s="70" t="n">
        <v>35087.1</v>
      </c>
      <c r="J138" s="72" t="n">
        <v>413</v>
      </c>
      <c r="K138" s="73" t="n">
        <v>12.77</v>
      </c>
    </row>
    <row r="139">
      <c r="A139" s="69" t="inlineStr">
        <is>
          <t>BFCM week Nov 20 - Dec 1, 2025 (12d)</t>
        </is>
      </c>
      <c r="B139" s="67" t="n"/>
      <c r="C139" s="68" t="n"/>
      <c r="D139" s="70" t="n">
        <v>5730.2</v>
      </c>
      <c r="E139" s="70" t="n">
        <v>18026.72</v>
      </c>
      <c r="F139" s="71" t="n">
        <v>31.8</v>
      </c>
      <c r="G139" s="71" t="n">
        <v>15.76554888332635</v>
      </c>
      <c r="H139" s="70" t="n">
        <v>36346.34</v>
      </c>
      <c r="J139" s="72" t="n">
        <v>589</v>
      </c>
      <c r="K139" s="73" t="n">
        <v>20.98</v>
      </c>
    </row>
    <row r="140">
      <c r="A140" s="69" t="inlineStr">
        <is>
          <t>December 2 - 31, 2025 (30d)</t>
        </is>
      </c>
      <c r="B140" s="67" t="n"/>
      <c r="C140" s="68" t="n"/>
      <c r="D140" s="70" t="n">
        <v>26758.44</v>
      </c>
      <c r="E140" s="70" t="n">
        <v>74158.53999999999</v>
      </c>
      <c r="F140" s="71" t="n">
        <v>36.1</v>
      </c>
      <c r="G140" s="71" t="n">
        <v>15.22765995950436</v>
      </c>
      <c r="H140" s="70" t="n">
        <v>175722.6</v>
      </c>
      <c r="J140" s="72" t="n">
        <v>2194</v>
      </c>
      <c r="K140" s="73" t="n">
        <v>22.13</v>
      </c>
    </row>
    <row r="142">
      <c r="A142" s="66" t="inlineStr">
        <is>
          <t>Actual sales (SellerBoard)</t>
        </is>
      </c>
      <c r="B142" s="67" t="n"/>
      <c r="C142" s="68" t="n"/>
      <c r="D142" s="66" t="inlineStr">
        <is>
          <t>Sales</t>
        </is>
      </c>
      <c r="E142" s="66" t="inlineStr">
        <is>
          <t>Units</t>
        </is>
      </c>
      <c r="F142" s="66" t="inlineStr">
        <is>
          <t>Organic units</t>
        </is>
      </c>
      <c r="G142" s="66" t="inlineStr">
        <is>
          <t>Ad units</t>
        </is>
      </c>
      <c r="H142" s="66" t="inlineStr">
        <is>
          <t>Ad cost</t>
        </is>
      </c>
      <c r="J142" s="66" t="inlineStr">
        <is>
          <t>TACoS (actual)</t>
        </is>
      </c>
      <c r="K142" s="66" t="inlineStr">
        <is>
          <t>Sessions</t>
        </is>
      </c>
      <c r="L142" s="66" t="inlineStr">
        <is>
          <t>Unit session %</t>
        </is>
      </c>
      <c r="M142" s="66" t="inlineStr">
        <is>
          <t>Avg price</t>
        </is>
      </c>
      <c r="N142" s="66" t="inlineStr">
        <is>
          <t>Refunds</t>
        </is>
      </c>
    </row>
    <row r="143">
      <c r="A143" s="69" t="inlineStr">
        <is>
          <t>Pre-event Oct 21 - Nov 19, 2025 (30d)</t>
        </is>
      </c>
      <c r="B143" s="67" t="n"/>
      <c r="C143" s="68" t="n"/>
      <c r="D143" s="70" t="n">
        <v>35087.1</v>
      </c>
      <c r="E143" s="72" t="n">
        <v>1022</v>
      </c>
      <c r="F143" s="72" t="n">
        <v>893</v>
      </c>
      <c r="G143" s="72" t="n">
        <v>129</v>
      </c>
      <c r="H143" s="70" t="n">
        <v>6436.07</v>
      </c>
      <c r="J143" s="74" t="n">
        <v>0.1834312325612547</v>
      </c>
      <c r="K143" s="72" t="n">
        <v>13752</v>
      </c>
      <c r="L143" s="74" t="n">
        <v>0.07431646305991856</v>
      </c>
      <c r="M143" s="75" t="n">
        <v>34.33180039138943</v>
      </c>
      <c r="N143" s="72" t="n">
        <v>65</v>
      </c>
    </row>
    <row r="144">
      <c r="A144" s="69" t="inlineStr">
        <is>
          <t>BFCM week Nov 20 - Dec 1, 2025 (12d)</t>
        </is>
      </c>
      <c r="B144" s="67" t="n"/>
      <c r="C144" s="68" t="n"/>
      <c r="D144" s="70" t="n">
        <v>36346.34</v>
      </c>
      <c r="E144" s="72" t="n">
        <v>1207</v>
      </c>
      <c r="F144" s="72" t="n">
        <v>1082</v>
      </c>
      <c r="G144" s="72" t="n">
        <v>125</v>
      </c>
      <c r="H144" s="70" t="n">
        <v>5731.36</v>
      </c>
      <c r="J144" s="74" t="n">
        <v>0.1576874040137191</v>
      </c>
      <c r="K144" s="72" t="n">
        <v>14508</v>
      </c>
      <c r="L144" s="74" t="n">
        <v>0.08319547835676869</v>
      </c>
      <c r="M144" s="75" t="n">
        <v>30.11295774647887</v>
      </c>
      <c r="N144" s="72" t="n">
        <v>38</v>
      </c>
    </row>
    <row r="145">
      <c r="A145" s="69" t="inlineStr">
        <is>
          <t>December 2 - 31, 2025 (30d)</t>
        </is>
      </c>
      <c r="B145" s="67" t="n"/>
      <c r="C145" s="68" t="n"/>
      <c r="D145" s="70" t="n">
        <v>175722.6</v>
      </c>
      <c r="E145" s="72" t="n">
        <v>6045</v>
      </c>
      <c r="F145" s="72" t="n">
        <v>5625</v>
      </c>
      <c r="G145" s="72" t="n">
        <v>420</v>
      </c>
      <c r="H145" s="70" t="n">
        <v>26765.42</v>
      </c>
      <c r="J145" s="74" t="n">
        <v>0.1523163212927648</v>
      </c>
      <c r="K145" s="72" t="n">
        <v>225125</v>
      </c>
      <c r="L145" s="74" t="n">
        <v>0.0268517490283176</v>
      </c>
      <c r="M145" s="75" t="n">
        <v>29.06908188585608</v>
      </c>
      <c r="N145" s="72" t="n">
        <v>132</v>
      </c>
    </row>
    <row r="146">
      <c r="A146" s="58" t="inlineStr">
        <is>
          <t>SellerBoard, Ecotero account, Amazon parent B0HFWXSCFP plus any of this product's child ASINs SellerBoard lists on their own, UTC days. Lift above uses these actual sales (2.59x; the ad-spend estimate was 2.59x).</t>
        </is>
      </c>
    </row>
    <row r="147" ht="30" customHeight="1">
      <c r="A147" s="76"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7" t="inlineStr">
        <is>
          <t>BFCM 2026 plan (BM, Oct 15, 2026): Best Deal 11/19-11/30. Deal price and depth not yet given; not yet visible in Amazon's deal feed.</t>
        </is>
      </c>
    </row>
    <row r="149" ht="18" customHeight="1">
      <c r="A149" s="79" t="inlineStr">
        <is>
          <t>ASSUMED 2026 deal prices, until BM's final: B0DDRH9RD7 today $33.95; $28.86 at 15% off (Nov 19-26) and $27.16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50" ht="30" customHeight="1">
      <c r="A150" s="76"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6"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8" t="inlineStr">
        <is>
          <t>Command Center visibility for our best child B0DDRH9RD7: organic score None before BFCM 2025 → None in BFCM week; Prime Day 2026 12.5 → 11.8; Aug-Sep 2026 22.4.</t>
        </is>
      </c>
    </row>
    <row r="154" ht="20" customHeight="1">
      <c r="A154" s="53" t="inlineStr">
        <is>
          <t>4 · COMPETITOR LANDSCAPE (29 mapped)</t>
        </is>
      </c>
    </row>
    <row r="155">
      <c r="A155" s="58"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13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13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13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13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13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13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13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13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13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13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13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21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13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13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13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21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13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13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21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13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21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13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13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13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13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3"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Satin Sheets 4 Piece  ·  Amazon.ca (CA)  ·  Satin  ·  BFCM role: Clearance with margin  ·  Scope: Core</t>
        </is>
      </c>
    </row>
    <row r="2">
      <c r="A2" s="52" t="inlineStr">
        <is>
          <t>← Dashboard</t>
        </is>
      </c>
    </row>
    <row r="3" ht="20" customHeight="1">
      <c r="A3" s="53"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4" t="inlineStr">
        <is>
          <t>Full, King, Queen, Twin</t>
        </is>
      </c>
      <c r="S4" s="11" t="inlineStr">
        <is>
          <t>Break-even ACoS</t>
        </is>
      </c>
      <c r="T4" s="54" t="inlineStr">
        <is>
          <t>42%</t>
        </is>
      </c>
    </row>
    <row r="5" ht="22" customHeight="1">
      <c r="C5" s="11" t="inlineStr">
        <is>
          <t>Brand</t>
        </is>
      </c>
      <c r="D5" s="54" t="inlineStr">
        <is>
          <t>Sleephoria</t>
        </is>
      </c>
      <c r="K5" s="11" t="inlineStr">
        <is>
          <t>Colours</t>
        </is>
      </c>
      <c r="L5" s="54"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4" t="inlineStr">
        <is>
          <t>31</t>
        </is>
      </c>
    </row>
    <row r="6" ht="22" customHeight="1">
      <c r="C6" s="11" t="inlineStr">
        <is>
          <t>Marketplace</t>
        </is>
      </c>
      <c r="D6" s="54" t="inlineStr">
        <is>
          <t>Amazon.ca (CA)</t>
        </is>
      </c>
      <c r="K6" s="11" t="inlineStr">
        <is>
          <t>Price now, best child</t>
        </is>
      </c>
      <c r="L6" s="54" t="inlineStr">
        <is>
          <t>$49.95 (Helium 10 Xray (Amazon.ca, CAD), 2026-10-14)</t>
        </is>
      </c>
      <c r="S6" s="11" t="inlineStr">
        <is>
          <t>Command Center product ASIN</t>
        </is>
      </c>
      <c r="T6" s="54" t="inlineStr">
        <is>
          <t>B0DDR4HJCS (one of our child ASINs, not the Amazon parent)</t>
        </is>
      </c>
    </row>
    <row r="7" ht="22" customHeight="1">
      <c r="C7" s="11" t="inlineStr">
        <is>
          <t>Parent ASIN (Amazon)</t>
        </is>
      </c>
      <c r="D7" s="54" t="inlineStr">
        <is>
          <t>B0F2Z7C4ST</t>
        </is>
      </c>
      <c r="K7" s="11" t="inlineStr">
        <is>
          <t>Rating / reviews now</t>
        </is>
      </c>
      <c r="L7" s="54" t="inlineStr">
        <is>
          <t>4.4 / 1,090 (Helium 10 Xray (Amazon.ca, CAD), 2026-10-14)</t>
        </is>
      </c>
    </row>
    <row r="8" ht="22" customHeight="1">
      <c r="C8" s="11" t="inlineStr">
        <is>
          <t>Best-selling child ASIN</t>
        </is>
      </c>
      <c r="D8" s="54" t="inlineStr">
        <is>
          <t>B0DDR1ZPRZ</t>
        </is>
      </c>
      <c r="K8" s="11" t="inlineStr">
        <is>
          <t>Live prices held</t>
        </is>
      </c>
      <c r="L8" s="54" t="inlineStr">
        <is>
          <t>86 of 116 variations</t>
        </is>
      </c>
    </row>
    <row r="9" ht="22" customHeight="1">
      <c r="C9" s="11" t="inlineStr">
        <is>
          <t>Stage</t>
        </is>
      </c>
      <c r="D9" s="54" t="inlineStr">
        <is>
          <t>Maintenance</t>
        </is>
      </c>
      <c r="K9" s="11" t="inlineStr">
        <is>
          <t>Blended price (Command Center)</t>
        </is>
      </c>
      <c r="L9" s="54" t="inlineStr">
        <is>
          <t>$49.47 - fee feed as of 2026-03-30, STALE</t>
        </is>
      </c>
    </row>
    <row r="10">
      <c r="C10" s="11" t="inlineStr">
        <is>
          <t>Total variations (SKUs)</t>
        </is>
      </c>
      <c r="D10" s="54" t="n">
        <v>116</v>
      </c>
      <c r="K10" s="11" t="inlineStr">
        <is>
          <t>Contribution / unit</t>
        </is>
      </c>
      <c r="L10" s="54" t="inlineStr">
        <is>
          <t>$20.75</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STRIKETHROUGH SHOWN</t>
        </is>
      </c>
    </row>
    <row r="12" ht="24" customHeight="1">
      <c r="A12" s="56" t="inlineStr">
        <is>
          <t>1.52x</t>
        </is>
      </c>
      <c r="E12" s="56" t="inlineStr">
        <is>
          <t>0.0%</t>
        </is>
      </c>
      <c r="I12" s="56" t="inlineStr">
        <is>
          <t>3.72x</t>
        </is>
      </c>
      <c r="M12" s="56" t="inlineStr">
        <is>
          <t>15</t>
        </is>
      </c>
      <c r="Q12" s="56" t="inlineStr">
        <is>
          <t>10</t>
        </is>
      </c>
      <c r="U12" s="56" t="inlineStr">
        <is>
          <t>6 of 15</t>
        </is>
      </c>
    </row>
    <row r="13">
      <c r="A13" s="57" t="inlineStr">
        <is>
          <t>daily sales, BFCM wk vs 30 days before (SellerBoard actual)</t>
        </is>
      </c>
      <c r="E13" s="57" t="inlineStr">
        <is>
          <t>vs 0.0% before</t>
        </is>
      </c>
      <c r="I13" s="57" t="inlineStr">
        <is>
          <t>December daily sales vs Oct 21-Nov 19</t>
        </is>
      </c>
      <c r="M13" s="57" t="inlineStr">
        <is>
          <t>Amazon.ca page research</t>
        </is>
      </c>
      <c r="Q13" s="57" t="inlineStr">
        <is>
          <t>same size, else vs our Queen</t>
        </is>
      </c>
      <c r="U13" s="57" t="inlineStr">
        <is>
          <t>on the Amazon.ca page, Oct 13</t>
        </is>
      </c>
    </row>
    <row r="15" ht="20" customHeight="1">
      <c r="A15" s="53" t="inlineStr">
        <is>
          <t>2 · OUR VARIATIONS (116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59" t="n">
        <v>49.95</v>
      </c>
      <c r="H18" s="32" t="inlineStr">
        <is>
          <t>Helium 10 Xray (Amazon.ca, CAD), 2026-10-14</t>
        </is>
      </c>
      <c r="I18" s="60" t="n">
        <v>49.95</v>
      </c>
      <c r="J18" s="61" t="inlineStr">
        <is>
          <t>2026-03-30</t>
        </is>
      </c>
      <c r="K18" s="33" t="n">
        <v>21.37</v>
      </c>
      <c r="L18" s="62" t="n">
        <v>0.4278278278278277</v>
      </c>
      <c r="M18" s="63" t="n">
        <v>3</v>
      </c>
      <c r="N18" s="32" t="inlineStr">
        <is>
          <t>Active</t>
        </is>
      </c>
      <c r="O18" s="32" t="n"/>
      <c r="P18" s="64" t="n">
        <v>4.4</v>
      </c>
      <c r="Q18" s="63" t="n">
        <v>1090</v>
      </c>
      <c r="R18" s="63" t="n">
        <v>64523</v>
      </c>
      <c r="S18" s="63"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59" t="n">
        <v>49.95</v>
      </c>
      <c r="H19" s="32" t="inlineStr">
        <is>
          <t>Helium 10 Xray (Amazon.ca, CAD), 2026-10-14</t>
        </is>
      </c>
      <c r="I19" s="60" t="n">
        <v>49.95</v>
      </c>
      <c r="J19" s="61" t="inlineStr">
        <is>
          <t>2026-03-30</t>
        </is>
      </c>
      <c r="K19" s="33" t="n">
        <v>21.21</v>
      </c>
      <c r="L19" s="62" t="n">
        <v>0.4246246246246246</v>
      </c>
      <c r="M19" s="63" t="n">
        <v>3</v>
      </c>
      <c r="N19" s="32" t="inlineStr">
        <is>
          <t>Active</t>
        </is>
      </c>
      <c r="O19" s="32" t="n"/>
      <c r="P19" s="64" t="n">
        <v>4.4</v>
      </c>
      <c r="Q19" s="63" t="n">
        <v>1090</v>
      </c>
      <c r="R19" s="63" t="n">
        <v>64523</v>
      </c>
      <c r="S19" s="63"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59" t="n">
        <v>49.95</v>
      </c>
      <c r="H20" s="32" t="inlineStr">
        <is>
          <t>Helium 10 Xray (Amazon.ca, CAD), 2026-10-14</t>
        </is>
      </c>
      <c r="I20" s="60" t="n">
        <v>49.95</v>
      </c>
      <c r="J20" s="61" t="inlineStr">
        <is>
          <t>2026-03-30</t>
        </is>
      </c>
      <c r="K20" s="33" t="n">
        <v>21.12</v>
      </c>
      <c r="L20" s="62" t="n">
        <v>0.4228228228228227</v>
      </c>
      <c r="M20" s="63" t="n">
        <v>2</v>
      </c>
      <c r="N20" s="32" t="inlineStr">
        <is>
          <t>Active</t>
        </is>
      </c>
      <c r="O20" s="32" t="n"/>
      <c r="P20" s="64" t="n">
        <v>4.4</v>
      </c>
      <c r="Q20" s="63" t="n">
        <v>1090</v>
      </c>
      <c r="R20" s="63" t="n">
        <v>64523</v>
      </c>
      <c r="S20" s="63"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59" t="n">
        <v>49.95</v>
      </c>
      <c r="H21" s="32" t="inlineStr">
        <is>
          <t>Helium 10 Xray (Amazon.ca, CAD), 2026-10-14</t>
        </is>
      </c>
      <c r="I21" s="60" t="n">
        <v>49.95</v>
      </c>
      <c r="J21" s="61" t="inlineStr">
        <is>
          <t>2026-03-30</t>
        </is>
      </c>
      <c r="K21" s="33" t="n">
        <v>20.79</v>
      </c>
      <c r="L21" s="62" t="n">
        <v>0.4162162162162162</v>
      </c>
      <c r="M21" s="63" t="n">
        <v>2</v>
      </c>
      <c r="N21" s="32" t="inlineStr">
        <is>
          <t>Active</t>
        </is>
      </c>
      <c r="O21" s="32" t="n"/>
      <c r="P21" s="64" t="n">
        <v>4.4</v>
      </c>
      <c r="Q21" s="63" t="n">
        <v>1090</v>
      </c>
      <c r="R21" s="63" t="n">
        <v>64523</v>
      </c>
      <c r="S21" s="63"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59" t="n">
        <v>49.95</v>
      </c>
      <c r="H22" s="32" t="inlineStr">
        <is>
          <t>Helium 10 Xray (Amazon.ca, CAD), 2026-10-14</t>
        </is>
      </c>
      <c r="I22" s="60" t="n">
        <v>49.95</v>
      </c>
      <c r="J22" s="61" t="inlineStr">
        <is>
          <t>2026-03-30</t>
        </is>
      </c>
      <c r="K22" s="33" t="n">
        <v>21.21</v>
      </c>
      <c r="L22" s="62" t="n">
        <v>0.4246246246246246</v>
      </c>
      <c r="M22" s="63" t="n">
        <v>2</v>
      </c>
      <c r="N22" s="32" t="inlineStr">
        <is>
          <t>Active</t>
        </is>
      </c>
      <c r="O22" s="32" t="n"/>
      <c r="P22" s="64" t="n">
        <v>4.4</v>
      </c>
      <c r="Q22" s="63" t="n">
        <v>1090</v>
      </c>
      <c r="R22" s="63" t="n">
        <v>64523</v>
      </c>
      <c r="S22" s="63"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59" t="n">
        <v>49.95</v>
      </c>
      <c r="H23" s="32" t="inlineStr">
        <is>
          <t>Helium 10 Xray (Amazon.ca, CAD), 2026-10-14</t>
        </is>
      </c>
      <c r="I23" s="60" t="n">
        <v>49.95</v>
      </c>
      <c r="J23" s="61" t="inlineStr">
        <is>
          <t>2026-03-30</t>
        </is>
      </c>
      <c r="K23" s="33" t="n">
        <v>20.89</v>
      </c>
      <c r="L23" s="62" t="n">
        <v>0.4182182182182182</v>
      </c>
      <c r="M23" s="63" t="n">
        <v>2</v>
      </c>
      <c r="N23" s="32" t="inlineStr">
        <is>
          <t>Active</t>
        </is>
      </c>
      <c r="O23" s="32" t="n"/>
      <c r="P23" s="64" t="n">
        <v>4.4</v>
      </c>
      <c r="Q23" s="63" t="n">
        <v>1090</v>
      </c>
      <c r="R23" s="63" t="n">
        <v>64523</v>
      </c>
      <c r="S23" s="63"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59" t="n">
        <v>49.95</v>
      </c>
      <c r="H24" s="32" t="inlineStr">
        <is>
          <t>Helium 10 Xray (Amazon.ca, CAD), 2026-10-14</t>
        </is>
      </c>
      <c r="I24" s="60" t="n">
        <v>49.95</v>
      </c>
      <c r="J24" s="61" t="inlineStr">
        <is>
          <t>2026-03-30</t>
        </is>
      </c>
      <c r="K24" s="33" t="n">
        <v>20.98</v>
      </c>
      <c r="L24" s="62" t="n">
        <v>0.42002002002002</v>
      </c>
      <c r="M24" s="63" t="n">
        <v>2</v>
      </c>
      <c r="N24" s="32" t="inlineStr">
        <is>
          <t>Active</t>
        </is>
      </c>
      <c r="O24" s="32" t="n"/>
      <c r="P24" s="64" t="n">
        <v>4.4</v>
      </c>
      <c r="Q24" s="63" t="n">
        <v>1090</v>
      </c>
      <c r="R24" s="63" t="n">
        <v>64523</v>
      </c>
      <c r="S24" s="63"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59" t="n">
        <v>49.95</v>
      </c>
      <c r="H25" s="32" t="inlineStr">
        <is>
          <t>Helium 10 Xray (Amazon.ca, CAD), 2026-10-14</t>
        </is>
      </c>
      <c r="I25" s="60" t="n">
        <v>49.95</v>
      </c>
      <c r="J25" s="61" t="inlineStr">
        <is>
          <t>2026-03-30</t>
        </is>
      </c>
      <c r="K25" s="33" t="n">
        <v>20.79</v>
      </c>
      <c r="L25" s="62" t="n">
        <v>0.4162162162162162</v>
      </c>
      <c r="M25" s="63" t="n">
        <v>2</v>
      </c>
      <c r="N25" s="32" t="inlineStr">
        <is>
          <t>Active</t>
        </is>
      </c>
      <c r="O25" s="32" t="n"/>
      <c r="P25" s="64" t="n">
        <v>4.4</v>
      </c>
      <c r="Q25" s="63" t="n">
        <v>1090</v>
      </c>
      <c r="R25" s="63" t="n">
        <v>64523</v>
      </c>
      <c r="S25" s="63"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59" t="n">
        <v>49.95</v>
      </c>
      <c r="H26" s="32" t="inlineStr">
        <is>
          <t>Helium 10 Xray (Amazon.ca, CAD), 2026-10-14</t>
        </is>
      </c>
      <c r="I26" s="60" t="n">
        <v>49.95</v>
      </c>
      <c r="J26" s="61" t="inlineStr">
        <is>
          <t>2026-03-30</t>
        </is>
      </c>
      <c r="K26" s="33" t="n">
        <v>20.79</v>
      </c>
      <c r="L26" s="62" t="n">
        <v>0.4162162162162162</v>
      </c>
      <c r="M26" s="63" t="n">
        <v>2</v>
      </c>
      <c r="N26" s="32" t="inlineStr">
        <is>
          <t>Active</t>
        </is>
      </c>
      <c r="O26" s="32" t="n"/>
      <c r="P26" s="64" t="n">
        <v>4.4</v>
      </c>
      <c r="Q26" s="63" t="n">
        <v>1090</v>
      </c>
      <c r="R26" s="63" t="n">
        <v>64523</v>
      </c>
      <c r="S26" s="63"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59" t="n">
        <v>46.95</v>
      </c>
      <c r="H27" s="32" t="inlineStr">
        <is>
          <t>Helium 10 Xray (Amazon.ca, CAD), 2026-10-14</t>
        </is>
      </c>
      <c r="I27" s="60" t="n">
        <v>46.95</v>
      </c>
      <c r="J27" s="61" t="inlineStr">
        <is>
          <t>2026-03-30</t>
        </is>
      </c>
      <c r="K27" s="33" t="n">
        <v>19.49</v>
      </c>
      <c r="L27" s="62" t="n">
        <v>0.415122470713525</v>
      </c>
      <c r="M27" s="63" t="n">
        <v>2</v>
      </c>
      <c r="N27" s="32" t="inlineStr">
        <is>
          <t>Active</t>
        </is>
      </c>
      <c r="O27" s="32" t="n"/>
      <c r="P27" s="64" t="n">
        <v>4.4</v>
      </c>
      <c r="Q27" s="63" t="n">
        <v>1090</v>
      </c>
      <c r="R27" s="63" t="n">
        <v>64523</v>
      </c>
      <c r="S27" s="63"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59" t="n">
        <v>55.22</v>
      </c>
      <c r="H28" s="32" t="inlineStr">
        <is>
          <t>Helium 10 Xray (Amazon.ca, CAD), 2026-10-14</t>
        </is>
      </c>
      <c r="I28" s="60" t="n">
        <v>54.82</v>
      </c>
      <c r="J28" s="61" t="inlineStr">
        <is>
          <t>2026-03-30</t>
        </is>
      </c>
      <c r="K28" s="33" t="n">
        <v>21.33000000000001</v>
      </c>
      <c r="L28" s="62" t="n">
        <v>0.3890915724188254</v>
      </c>
      <c r="M28" s="63" t="n">
        <v>1</v>
      </c>
      <c r="N28" s="32" t="inlineStr">
        <is>
          <t>Active</t>
        </is>
      </c>
      <c r="O28" s="32" t="n"/>
      <c r="P28" s="64" t="n">
        <v>4.4</v>
      </c>
      <c r="Q28" s="63" t="n">
        <v>1090</v>
      </c>
      <c r="R28" s="63" t="n">
        <v>64523</v>
      </c>
      <c r="S28" s="63"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59" t="n">
        <v>49.95</v>
      </c>
      <c r="H29" s="32" t="inlineStr">
        <is>
          <t>Helium 10 Xray (Amazon.ca, CAD), 2026-10-14</t>
        </is>
      </c>
      <c r="I29" s="60" t="n">
        <v>49.95</v>
      </c>
      <c r="J29" s="61" t="inlineStr">
        <is>
          <t>2026-03-30</t>
        </is>
      </c>
      <c r="K29" s="33" t="n">
        <v>20.88</v>
      </c>
      <c r="L29" s="62" t="n">
        <v>0.418018018018018</v>
      </c>
      <c r="M29" s="63" t="n">
        <v>1</v>
      </c>
      <c r="N29" s="32" t="inlineStr">
        <is>
          <t>Active</t>
        </is>
      </c>
      <c r="O29" s="32" t="n"/>
      <c r="P29" s="64" t="n">
        <v>4.4</v>
      </c>
      <c r="Q29" s="63" t="n">
        <v>1090</v>
      </c>
      <c r="R29" s="63" t="n">
        <v>64523</v>
      </c>
      <c r="S29" s="63"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59" t="n">
        <v>49.95</v>
      </c>
      <c r="H30" s="32" t="inlineStr">
        <is>
          <t>Helium 10 Xray (Amazon.ca, CAD), 2026-10-14</t>
        </is>
      </c>
      <c r="I30" s="60" t="n">
        <v>49.95</v>
      </c>
      <c r="J30" s="61" t="inlineStr">
        <is>
          <t>2026-03-30</t>
        </is>
      </c>
      <c r="K30" s="33" t="n">
        <v>20.79</v>
      </c>
      <c r="L30" s="62" t="n">
        <v>0.4162162162162162</v>
      </c>
      <c r="M30" s="63" t="n">
        <v>1</v>
      </c>
      <c r="N30" s="32" t="inlineStr">
        <is>
          <t>Active</t>
        </is>
      </c>
      <c r="O30" s="32" t="n"/>
      <c r="P30" s="64" t="n">
        <v>4.4</v>
      </c>
      <c r="Q30" s="63" t="n">
        <v>1090</v>
      </c>
      <c r="R30" s="63" t="n">
        <v>64523</v>
      </c>
      <c r="S30" s="63"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0" t="n">
        <v>61.07</v>
      </c>
      <c r="J31" s="61" t="inlineStr">
        <is>
          <t>2026-03-30</t>
        </is>
      </c>
      <c r="K31" s="33" t="n">
        <v>22.68</v>
      </c>
      <c r="L31" s="62" t="n">
        <v>0.37137710823645</v>
      </c>
      <c r="M31" s="63" t="n">
        <v>1</v>
      </c>
      <c r="N31" s="65" t="inlineStr">
        <is>
          <t>Not buyable on Amazon 2026-10-14: page redirects to B0DDR95PQM (Twin Striped White) - FBA stock 0 since 2026-09-16, nothing inbound (DataHub 2026-10-14)</t>
        </is>
      </c>
      <c r="O31" s="32" t="n"/>
      <c r="P31" s="64" t="n"/>
      <c r="Q31" s="63" t="n"/>
      <c r="R31" s="63" t="n"/>
      <c r="S31" s="63"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59" t="n">
        <v>46.95</v>
      </c>
      <c r="H32" s="32" t="inlineStr">
        <is>
          <t>Helium 10 Xray (Amazon.ca, CAD), 2026-10-14</t>
        </is>
      </c>
      <c r="I32" s="60" t="n">
        <v>46.95</v>
      </c>
      <c r="J32" s="61" t="inlineStr">
        <is>
          <t>2026-03-30</t>
        </is>
      </c>
      <c r="K32" s="33" t="n">
        <v>20.31000000000001</v>
      </c>
      <c r="L32" s="62" t="n">
        <v>0.4325878594249202</v>
      </c>
      <c r="M32" s="63" t="n">
        <v>1</v>
      </c>
      <c r="N32" s="32" t="inlineStr">
        <is>
          <t>Active</t>
        </is>
      </c>
      <c r="O32" s="32" t="n"/>
      <c r="P32" s="64" t="n">
        <v>4.4</v>
      </c>
      <c r="Q32" s="63" t="n">
        <v>1090</v>
      </c>
      <c r="R32" s="63" t="n">
        <v>64523</v>
      </c>
      <c r="S32" s="63"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59" t="n">
        <v>46.95</v>
      </c>
      <c r="H33" s="32" t="inlineStr">
        <is>
          <t>Helium 10 Xray (Amazon.ca, CAD), 2026-10-14</t>
        </is>
      </c>
      <c r="I33" s="60" t="n">
        <v>46.95</v>
      </c>
      <c r="J33" s="61" t="inlineStr">
        <is>
          <t>2026-03-30</t>
        </is>
      </c>
      <c r="K33" s="33" t="n">
        <v>20.21000000000001</v>
      </c>
      <c r="L33" s="62" t="n">
        <v>0.4304579339723111</v>
      </c>
      <c r="M33" s="63" t="n">
        <v>1</v>
      </c>
      <c r="N33" s="32" t="inlineStr">
        <is>
          <t>Active</t>
        </is>
      </c>
      <c r="O33" s="32" t="n"/>
      <c r="P33" s="64" t="n">
        <v>4.4</v>
      </c>
      <c r="Q33" s="63" t="n">
        <v>1090</v>
      </c>
      <c r="R33" s="63" t="n">
        <v>64523</v>
      </c>
      <c r="S33" s="63"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59" t="n">
        <v>57.68</v>
      </c>
      <c r="H34" s="32" t="inlineStr">
        <is>
          <t>Helium 10 Xray (Amazon.ca, CAD), 2026-10-14</t>
        </is>
      </c>
      <c r="I34" s="60" t="n">
        <v>46.95</v>
      </c>
      <c r="J34" s="61" t="inlineStr">
        <is>
          <t>2026-03-30</t>
        </is>
      </c>
      <c r="K34" s="33" t="n">
        <v>20.31000000000001</v>
      </c>
      <c r="L34" s="62" t="n">
        <v>0.4325878594249202</v>
      </c>
      <c r="M34" s="63" t="n">
        <v>1</v>
      </c>
      <c r="N34" s="32" t="inlineStr">
        <is>
          <t>Active</t>
        </is>
      </c>
      <c r="O34" s="32" t="n"/>
      <c r="P34" s="64" t="n">
        <v>4.4</v>
      </c>
      <c r="Q34" s="63" t="n">
        <v>1090</v>
      </c>
      <c r="R34" s="63" t="n">
        <v>64523</v>
      </c>
      <c r="S34" s="63"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59" t="n">
        <v>41.95</v>
      </c>
      <c r="H35" s="32" t="inlineStr">
        <is>
          <t>Helium 10 Xray (Amazon.ca, CAD), 2026-10-14</t>
        </is>
      </c>
      <c r="I35" s="60" t="n">
        <v>41.95</v>
      </c>
      <c r="J35" s="61" t="inlineStr">
        <is>
          <t>2026-03-30</t>
        </is>
      </c>
      <c r="K35" s="33" t="n">
        <v>18.84</v>
      </c>
      <c r="L35" s="62" t="n">
        <v>0.4491060786650775</v>
      </c>
      <c r="M35" s="63" t="n">
        <v>1</v>
      </c>
      <c r="N35" s="32" t="inlineStr">
        <is>
          <t>Active</t>
        </is>
      </c>
      <c r="O35" s="32" t="n"/>
      <c r="P35" s="64" t="n">
        <v>4.4</v>
      </c>
      <c r="Q35" s="63" t="n">
        <v>1090</v>
      </c>
      <c r="R35" s="63" t="n">
        <v>64523</v>
      </c>
      <c r="S35" s="63"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59" t="n">
        <v>41.95</v>
      </c>
      <c r="H36" s="32" t="inlineStr">
        <is>
          <t>Helium 10 Xray (Amazon.ca, CAD), 2026-10-14</t>
        </is>
      </c>
      <c r="I36" s="60" t="n">
        <v>41.95</v>
      </c>
      <c r="J36" s="61" t="inlineStr">
        <is>
          <t>2026-03-30</t>
        </is>
      </c>
      <c r="K36" s="33" t="n">
        <v>18.13</v>
      </c>
      <c r="L36" s="62" t="n">
        <v>0.432181168057211</v>
      </c>
      <c r="M36" s="63" t="n">
        <v>1</v>
      </c>
      <c r="N36" s="32" t="inlineStr">
        <is>
          <t>Active</t>
        </is>
      </c>
      <c r="O36" s="32" t="n"/>
      <c r="P36" s="64" t="n">
        <v>4.4</v>
      </c>
      <c r="Q36" s="63" t="n">
        <v>1090</v>
      </c>
      <c r="R36" s="63" t="n">
        <v>64523</v>
      </c>
      <c r="S36" s="63"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59" t="n">
        <v>55.22</v>
      </c>
      <c r="H37" s="32" t="inlineStr">
        <is>
          <t>Helium 10 Xray (Amazon.ca, CAD), 2026-10-14</t>
        </is>
      </c>
      <c r="I37" s="60" t="n">
        <v>44.95</v>
      </c>
      <c r="J37" s="61" t="inlineStr">
        <is>
          <t>2026-03-30</t>
        </is>
      </c>
      <c r="K37" s="33" t="n">
        <v>19.42</v>
      </c>
      <c r="L37" s="62" t="n">
        <v>0.432035595105673</v>
      </c>
      <c r="M37" s="63" t="n"/>
      <c r="N37" s="32" t="inlineStr">
        <is>
          <t>Active</t>
        </is>
      </c>
      <c r="O37" s="32" t="n"/>
      <c r="P37" s="64" t="n">
        <v>4.4</v>
      </c>
      <c r="Q37" s="63" t="n">
        <v>1090</v>
      </c>
      <c r="R37" s="63" t="n">
        <v>64523</v>
      </c>
      <c r="S37" s="63"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0" t="n">
        <v>44.95</v>
      </c>
      <c r="J38" s="61" t="inlineStr">
        <is>
          <t>2026-03-30</t>
        </is>
      </c>
      <c r="K38" s="33" t="n">
        <v>19.42</v>
      </c>
      <c r="L38" s="62" t="n">
        <v>0.432035595105673</v>
      </c>
      <c r="M38" s="63" t="n"/>
      <c r="N38" s="32" t="inlineStr">
        <is>
          <t>Inactive</t>
        </is>
      </c>
      <c r="O38" s="32" t="n"/>
      <c r="P38" s="64" t="n"/>
      <c r="Q38" s="63" t="n"/>
      <c r="R38" s="63" t="n"/>
      <c r="S38" s="63"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59" t="n">
        <v>55.22</v>
      </c>
      <c r="H39" s="32" t="inlineStr">
        <is>
          <t>Helium 10 Xray (Amazon.ca, CAD), 2026-10-14</t>
        </is>
      </c>
      <c r="I39" s="60" t="n">
        <v>55</v>
      </c>
      <c r="J39" s="61" t="inlineStr">
        <is>
          <t>2026-03-30</t>
        </is>
      </c>
      <c r="K39" s="33" t="n">
        <v>21.01</v>
      </c>
      <c r="L39" s="62" t="n">
        <v>0.382</v>
      </c>
      <c r="M39" s="63" t="n">
        <v>0</v>
      </c>
      <c r="N39" s="32" t="inlineStr">
        <is>
          <t>Active</t>
        </is>
      </c>
      <c r="O39" s="32" t="n"/>
      <c r="P39" s="64" t="n">
        <v>4.4</v>
      </c>
      <c r="Q39" s="63" t="n">
        <v>1090</v>
      </c>
      <c r="R39" s="63" t="n">
        <v>64523</v>
      </c>
      <c r="S39" s="63"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59" t="n">
        <v>44.95</v>
      </c>
      <c r="H40" s="32" t="inlineStr">
        <is>
          <t>Helium 10 Xray (Amazon.ca, CAD), 2026-10-14</t>
        </is>
      </c>
      <c r="I40" s="60" t="n">
        <v>44.95</v>
      </c>
      <c r="J40" s="61" t="inlineStr">
        <is>
          <t>2026-03-30</t>
        </is>
      </c>
      <c r="K40" s="33" t="n">
        <v>18.59</v>
      </c>
      <c r="L40" s="62" t="n">
        <v>0.4135706340378199</v>
      </c>
      <c r="M40" s="63" t="n"/>
      <c r="N40" s="32" t="inlineStr">
        <is>
          <t>Active</t>
        </is>
      </c>
      <c r="O40" s="32" t="n"/>
      <c r="P40" s="64" t="n">
        <v>4.4</v>
      </c>
      <c r="Q40" s="63" t="n">
        <v>1090</v>
      </c>
      <c r="R40" s="63" t="n">
        <v>64523</v>
      </c>
      <c r="S40" s="63"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59" t="n">
        <v>55.22</v>
      </c>
      <c r="H41" s="32" t="inlineStr">
        <is>
          <t>Helium 10 Xray (Amazon.ca, CAD), 2026-10-14</t>
        </is>
      </c>
      <c r="I41" s="60" t="n">
        <v>54.99</v>
      </c>
      <c r="J41" s="61" t="inlineStr">
        <is>
          <t>2026-03-30</t>
        </is>
      </c>
      <c r="K41" s="33" t="n">
        <v>20.89</v>
      </c>
      <c r="L41" s="62" t="n">
        <v>0.3798872522276778</v>
      </c>
      <c r="M41" s="63" t="n">
        <v>0</v>
      </c>
      <c r="N41" s="32" t="inlineStr">
        <is>
          <t>Active</t>
        </is>
      </c>
      <c r="O41" s="32" t="n"/>
      <c r="P41" s="64" t="n">
        <v>4.4</v>
      </c>
      <c r="Q41" s="63" t="n">
        <v>1090</v>
      </c>
      <c r="R41" s="63" t="n">
        <v>64523</v>
      </c>
      <c r="S41" s="63"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59" t="n">
        <v>55.22</v>
      </c>
      <c r="H42" s="32" t="inlineStr">
        <is>
          <t>Helium 10 Xray (Amazon.ca, CAD), 2026-10-14</t>
        </is>
      </c>
      <c r="I42" s="60" t="n">
        <v>55</v>
      </c>
      <c r="J42" s="61" t="inlineStr">
        <is>
          <t>2026-03-30</t>
        </is>
      </c>
      <c r="K42" s="33" t="n">
        <v>21.38</v>
      </c>
      <c r="L42" s="62" t="n">
        <v>0.3887272727272728</v>
      </c>
      <c r="M42" s="63" t="n">
        <v>0</v>
      </c>
      <c r="N42" s="32" t="inlineStr">
        <is>
          <t>Active</t>
        </is>
      </c>
      <c r="O42" s="32" t="n"/>
      <c r="P42" s="64" t="n">
        <v>4.4</v>
      </c>
      <c r="Q42" s="63" t="n">
        <v>1090</v>
      </c>
      <c r="R42" s="63" t="n">
        <v>64523</v>
      </c>
      <c r="S42" s="63"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59" t="n">
        <v>55.22</v>
      </c>
      <c r="H43" s="32" t="inlineStr">
        <is>
          <t>Helium 10 Xray (Amazon.ca, CAD), 2026-10-14</t>
        </is>
      </c>
      <c r="I43" s="60" t="n">
        <v>55.12</v>
      </c>
      <c r="J43" s="61" t="inlineStr">
        <is>
          <t>2026-03-30</t>
        </is>
      </c>
      <c r="K43" s="33" t="n">
        <v>21.48</v>
      </c>
      <c r="L43" s="62" t="n">
        <v>0.3896952104499274</v>
      </c>
      <c r="M43" s="63" t="n"/>
      <c r="N43" s="32" t="inlineStr">
        <is>
          <t>Active</t>
        </is>
      </c>
      <c r="O43" s="32" t="n"/>
      <c r="P43" s="64" t="n">
        <v>4.4</v>
      </c>
      <c r="Q43" s="63" t="n">
        <v>1090</v>
      </c>
      <c r="R43" s="63" t="n">
        <v>64523</v>
      </c>
      <c r="S43" s="63"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59" t="n">
        <v>44.95</v>
      </c>
      <c r="H44" s="32" t="inlineStr">
        <is>
          <t>Helium 10 Xray (Amazon.ca, CAD), 2026-10-14</t>
        </is>
      </c>
      <c r="I44" s="60" t="n">
        <v>44.95</v>
      </c>
      <c r="J44" s="61" t="inlineStr">
        <is>
          <t>2026-03-30</t>
        </is>
      </c>
      <c r="K44" s="33" t="n">
        <v>19.42</v>
      </c>
      <c r="L44" s="62" t="n">
        <v>0.432035595105673</v>
      </c>
      <c r="M44" s="63" t="n">
        <v>0</v>
      </c>
      <c r="N44" s="32" t="inlineStr">
        <is>
          <t>Active</t>
        </is>
      </c>
      <c r="O44" s="32" t="n"/>
      <c r="P44" s="64" t="n">
        <v>4.4</v>
      </c>
      <c r="Q44" s="63" t="n">
        <v>1090</v>
      </c>
      <c r="R44" s="63" t="n">
        <v>64523</v>
      </c>
      <c r="S44" s="63"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59" t="n">
        <v>55.22</v>
      </c>
      <c r="H45" s="32" t="inlineStr">
        <is>
          <t>Helium 10 Xray (Amazon.ca, CAD), 2026-10-14</t>
        </is>
      </c>
      <c r="I45" s="60" t="n">
        <v>55</v>
      </c>
      <c r="J45" s="61" t="inlineStr">
        <is>
          <t>2026-03-30</t>
        </is>
      </c>
      <c r="K45" s="33" t="n">
        <v>21.27</v>
      </c>
      <c r="L45" s="62" t="n">
        <v>0.3867272727272728</v>
      </c>
      <c r="M45" s="63" t="n"/>
      <c r="N45" s="32" t="inlineStr">
        <is>
          <t>Active</t>
        </is>
      </c>
      <c r="O45" s="32" t="n"/>
      <c r="P45" s="64" t="n">
        <v>4.4</v>
      </c>
      <c r="Q45" s="63" t="n">
        <v>1090</v>
      </c>
      <c r="R45" s="63" t="n">
        <v>64523</v>
      </c>
      <c r="S45" s="63"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59" t="n">
        <v>55.22</v>
      </c>
      <c r="H46" s="32" t="inlineStr">
        <is>
          <t>Helium 10 Xray (Amazon.ca, CAD), 2026-10-14</t>
        </is>
      </c>
      <c r="I46" s="60" t="n">
        <v>44.95</v>
      </c>
      <c r="J46" s="61" t="inlineStr">
        <is>
          <t>2026-03-30</t>
        </is>
      </c>
      <c r="K46" s="33" t="n">
        <v>19.09</v>
      </c>
      <c r="L46" s="62" t="n">
        <v>0.4246941045606229</v>
      </c>
      <c r="M46" s="63" t="n">
        <v>0</v>
      </c>
      <c r="N46" s="32" t="inlineStr">
        <is>
          <t>Active</t>
        </is>
      </c>
      <c r="O46" s="32" t="n"/>
      <c r="P46" s="64" t="n">
        <v>4.4</v>
      </c>
      <c r="Q46" s="63" t="n">
        <v>1090</v>
      </c>
      <c r="R46" s="63" t="n">
        <v>64523</v>
      </c>
      <c r="S46" s="63"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59" t="n">
        <v>44.95</v>
      </c>
      <c r="H47" s="32" t="inlineStr">
        <is>
          <t>Helium 10 Xray (Amazon.ca, CAD), 2026-10-14</t>
        </is>
      </c>
      <c r="I47" s="60" t="n">
        <v>55.11</v>
      </c>
      <c r="J47" s="61" t="inlineStr">
        <is>
          <t>2026-03-30</t>
        </is>
      </c>
      <c r="K47" s="33" t="n">
        <v>21.57000000000001</v>
      </c>
      <c r="L47" s="62" t="n">
        <v>0.3913990201415353</v>
      </c>
      <c r="M47" s="63" t="n">
        <v>0</v>
      </c>
      <c r="N47" s="32" t="inlineStr">
        <is>
          <t>Active</t>
        </is>
      </c>
      <c r="O47" s="32" t="n"/>
      <c r="P47" s="64" t="n">
        <v>4.4</v>
      </c>
      <c r="Q47" s="63" t="n">
        <v>1090</v>
      </c>
      <c r="R47" s="63" t="n">
        <v>64523</v>
      </c>
      <c r="S47" s="63"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59" t="n">
        <v>44.95</v>
      </c>
      <c r="H48" s="32" t="inlineStr">
        <is>
          <t>Helium 10 Xray (Amazon.ca, CAD), 2026-10-14</t>
        </is>
      </c>
      <c r="I48" s="60" t="n">
        <v>44.95</v>
      </c>
      <c r="J48" s="61" t="inlineStr">
        <is>
          <t>2026-03-30</t>
        </is>
      </c>
      <c r="K48" s="33" t="n">
        <v>19.19</v>
      </c>
      <c r="L48" s="62" t="n">
        <v>0.4269187986651836</v>
      </c>
      <c r="M48" s="63" t="n">
        <v>0</v>
      </c>
      <c r="N48" s="32" t="inlineStr">
        <is>
          <t>Active</t>
        </is>
      </c>
      <c r="O48" s="32" t="n"/>
      <c r="P48" s="64" t="n">
        <v>4.4</v>
      </c>
      <c r="Q48" s="63" t="n">
        <v>1090</v>
      </c>
      <c r="R48" s="63" t="n">
        <v>64523</v>
      </c>
      <c r="S48" s="63"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59" t="n">
        <v>55.22</v>
      </c>
      <c r="H49" s="32" t="inlineStr">
        <is>
          <t>Helium 10 Xray (Amazon.ca, CAD), 2026-10-14</t>
        </is>
      </c>
      <c r="I49" s="60" t="n">
        <v>55.09</v>
      </c>
      <c r="J49" s="61" t="inlineStr">
        <is>
          <t>2026-03-30</t>
        </is>
      </c>
      <c r="K49" s="33" t="n">
        <v>21.56000000000001</v>
      </c>
      <c r="L49" s="62" t="n">
        <v>0.3913595933926304</v>
      </c>
      <c r="M49" s="63" t="n">
        <v>0</v>
      </c>
      <c r="N49" s="32" t="inlineStr">
        <is>
          <t>Active</t>
        </is>
      </c>
      <c r="O49" s="32" t="n"/>
      <c r="P49" s="64" t="n">
        <v>4.4</v>
      </c>
      <c r="Q49" s="63" t="n">
        <v>1090</v>
      </c>
      <c r="R49" s="63" t="n">
        <v>64523</v>
      </c>
      <c r="S49" s="63"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59" t="n">
        <v>44.95</v>
      </c>
      <c r="H50" s="32" t="inlineStr">
        <is>
          <t>Helium 10 Xray (Amazon.ca, CAD), 2026-10-14</t>
        </is>
      </c>
      <c r="I50" s="60" t="n">
        <v>44.95</v>
      </c>
      <c r="J50" s="61" t="inlineStr">
        <is>
          <t>2026-03-30</t>
        </is>
      </c>
      <c r="K50" s="33" t="n">
        <v>19.34</v>
      </c>
      <c r="L50" s="62" t="n">
        <v>0.4302558398220244</v>
      </c>
      <c r="M50" s="63" t="n">
        <v>0</v>
      </c>
      <c r="N50" s="32" t="inlineStr">
        <is>
          <t>Active</t>
        </is>
      </c>
      <c r="O50" s="32" t="n"/>
      <c r="P50" s="64" t="n">
        <v>4.4</v>
      </c>
      <c r="Q50" s="63" t="n">
        <v>1090</v>
      </c>
      <c r="R50" s="63" t="n">
        <v>64523</v>
      </c>
      <c r="S50" s="63"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2" t="n"/>
      <c r="M51" s="63" t="n"/>
      <c r="N51" s="32" t="inlineStr">
        <is>
          <t>Inactive</t>
        </is>
      </c>
      <c r="O51" s="32" t="n"/>
      <c r="P51" s="64" t="n"/>
      <c r="Q51" s="63" t="n"/>
      <c r="R51" s="63" t="n"/>
      <c r="S51" s="63"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59" t="n">
        <v>55.22</v>
      </c>
      <c r="H52" s="32" t="inlineStr">
        <is>
          <t>Helium 10 Xray (Amazon.ca, CAD), 2026-10-14</t>
        </is>
      </c>
      <c r="I52" s="60" t="n">
        <v>44.95</v>
      </c>
      <c r="J52" s="61" t="inlineStr">
        <is>
          <t>2026-03-30</t>
        </is>
      </c>
      <c r="K52" s="33" t="n">
        <v>19.42</v>
      </c>
      <c r="L52" s="62" t="n">
        <v>0.432035595105673</v>
      </c>
      <c r="M52" s="63" t="n">
        <v>0</v>
      </c>
      <c r="N52" s="32" t="inlineStr">
        <is>
          <t>Active</t>
        </is>
      </c>
      <c r="O52" s="32" t="n"/>
      <c r="P52" s="64" t="n">
        <v>4.4</v>
      </c>
      <c r="Q52" s="63" t="n">
        <v>1090</v>
      </c>
      <c r="R52" s="63" t="n">
        <v>64523</v>
      </c>
      <c r="S52" s="63"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59" t="n">
        <v>55.22</v>
      </c>
      <c r="H53" s="32" t="inlineStr">
        <is>
          <t>Helium 10 Xray (Amazon.ca, CAD), 2026-10-14</t>
        </is>
      </c>
      <c r="I53" s="60" t="n">
        <v>55</v>
      </c>
      <c r="J53" s="61" t="inlineStr">
        <is>
          <t>2026-03-30</t>
        </is>
      </c>
      <c r="K53" s="33" t="n">
        <v>21.38</v>
      </c>
      <c r="L53" s="62" t="n">
        <v>0.3887272727272728</v>
      </c>
      <c r="M53" s="63" t="n">
        <v>0</v>
      </c>
      <c r="N53" s="32" t="inlineStr">
        <is>
          <t>Active</t>
        </is>
      </c>
      <c r="O53" s="32" t="n"/>
      <c r="P53" s="64" t="n">
        <v>4.4</v>
      </c>
      <c r="Q53" s="63" t="n">
        <v>1090</v>
      </c>
      <c r="R53" s="63" t="n">
        <v>64523</v>
      </c>
      <c r="S53" s="63"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0" t="n">
        <v>44.95</v>
      </c>
      <c r="J54" s="61" t="inlineStr">
        <is>
          <t>2026-03-30</t>
        </is>
      </c>
      <c r="K54" s="33" t="n">
        <v>19.09</v>
      </c>
      <c r="L54" s="62" t="n">
        <v>0.4246941045606229</v>
      </c>
      <c r="M54" s="63" t="n">
        <v>0</v>
      </c>
      <c r="N54" s="32" t="inlineStr">
        <is>
          <t>Active</t>
        </is>
      </c>
      <c r="O54" s="32" t="n"/>
      <c r="P54" s="64" t="n"/>
      <c r="Q54" s="63" t="n"/>
      <c r="R54" s="63" t="n"/>
      <c r="S54" s="63"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0" t="n">
        <v>53.81</v>
      </c>
      <c r="J55" s="61" t="inlineStr">
        <is>
          <t>2026-03-14</t>
        </is>
      </c>
      <c r="K55" s="33" t="n">
        <v>25.94</v>
      </c>
      <c r="L55" s="62" t="n">
        <v>0.4820665303846869</v>
      </c>
      <c r="M55" s="63" t="n"/>
      <c r="N55" s="32" t="inlineStr">
        <is>
          <t>Inactive</t>
        </is>
      </c>
      <c r="O55" s="32" t="n"/>
      <c r="P55" s="64" t="n"/>
      <c r="Q55" s="63" t="n"/>
      <c r="R55" s="63" t="n"/>
      <c r="S55" s="63"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0" t="n">
        <v>54.63</v>
      </c>
      <c r="J56" s="61" t="inlineStr">
        <is>
          <t>2026-03-30</t>
        </is>
      </c>
      <c r="K56" s="33" t="n">
        <v>19.65000000000001</v>
      </c>
      <c r="L56" s="62" t="n">
        <v>0.3596924766611753</v>
      </c>
      <c r="M56" s="63" t="n"/>
      <c r="N56" s="32" t="inlineStr">
        <is>
          <t>Inactive</t>
        </is>
      </c>
      <c r="O56" s="32" t="n"/>
      <c r="P56" s="64" t="n"/>
      <c r="Q56" s="63" t="n"/>
      <c r="R56" s="63" t="n"/>
      <c r="S56" s="63"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59" t="n">
        <v>55.22</v>
      </c>
      <c r="H57" s="32" t="inlineStr">
        <is>
          <t>Helium 10 Xray (Amazon.ca, CAD), 2026-10-14</t>
        </is>
      </c>
      <c r="I57" s="60" t="n">
        <v>53.81</v>
      </c>
      <c r="J57" s="61" t="inlineStr">
        <is>
          <t>2026-03-30</t>
        </is>
      </c>
      <c r="K57" s="33" t="n">
        <v>20.34</v>
      </c>
      <c r="L57" s="62" t="n">
        <v>0.3779966548968594</v>
      </c>
      <c r="M57" s="63" t="n"/>
      <c r="N57" s="32" t="inlineStr">
        <is>
          <t>Active</t>
        </is>
      </c>
      <c r="O57" s="32" t="n"/>
      <c r="P57" s="64" t="n">
        <v>4.4</v>
      </c>
      <c r="Q57" s="63" t="n">
        <v>1090</v>
      </c>
      <c r="R57" s="63" t="n">
        <v>64523</v>
      </c>
      <c r="S57" s="63"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0" t="n">
        <v>54.6</v>
      </c>
      <c r="J58" s="61" t="inlineStr">
        <is>
          <t>2026-03-30</t>
        </is>
      </c>
      <c r="K58" s="33" t="n">
        <v>19.73</v>
      </c>
      <c r="L58" s="62" t="n">
        <v>0.3613553113553114</v>
      </c>
      <c r="M58" s="63" t="n"/>
      <c r="N58" s="32" t="inlineStr">
        <is>
          <t>Active</t>
        </is>
      </c>
      <c r="O58" s="32" t="n"/>
      <c r="P58" s="64" t="n"/>
      <c r="Q58" s="63" t="n"/>
      <c r="R58" s="63" t="n"/>
      <c r="S58" s="63"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59" t="n">
        <v>55.22</v>
      </c>
      <c r="H59" s="32" t="inlineStr">
        <is>
          <t>Helium 10 Xray (Amazon.ca, CAD), 2026-10-14</t>
        </is>
      </c>
      <c r="I59" s="60" t="n">
        <v>53.81</v>
      </c>
      <c r="J59" s="61" t="inlineStr">
        <is>
          <t>2026-03-30</t>
        </is>
      </c>
      <c r="K59" s="33" t="n">
        <v>20.34</v>
      </c>
      <c r="L59" s="62" t="n">
        <v>0.3779966548968594</v>
      </c>
      <c r="M59" s="63" t="n"/>
      <c r="N59" s="32" t="inlineStr">
        <is>
          <t>Active</t>
        </is>
      </c>
      <c r="O59" s="32" t="n"/>
      <c r="P59" s="64" t="n">
        <v>4.4</v>
      </c>
      <c r="Q59" s="63" t="n">
        <v>1090</v>
      </c>
      <c r="R59" s="63" t="n">
        <v>64523</v>
      </c>
      <c r="S59" s="63"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59" t="n">
        <v>65.95999999999999</v>
      </c>
      <c r="H60" s="32" t="inlineStr">
        <is>
          <t>Helium 10 Xray (Amazon.ca, CAD), 2026-10-14</t>
        </is>
      </c>
      <c r="I60" s="60" t="n">
        <v>62.42</v>
      </c>
      <c r="J60" s="61" t="inlineStr">
        <is>
          <t>2026-03-30</t>
        </is>
      </c>
      <c r="K60" s="33" t="n">
        <v>28.21</v>
      </c>
      <c r="L60" s="62" t="n">
        <v>0.4519384812560078</v>
      </c>
      <c r="M60" s="63" t="n">
        <v>0</v>
      </c>
      <c r="N60" s="32" t="inlineStr">
        <is>
          <t>Active</t>
        </is>
      </c>
      <c r="O60" s="32" t="n"/>
      <c r="P60" s="64" t="n">
        <v>4.4</v>
      </c>
      <c r="Q60" s="63" t="n">
        <v>1090</v>
      </c>
      <c r="R60" s="63" t="n">
        <v>64523</v>
      </c>
      <c r="S60" s="63"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59" t="n">
        <v>55.22</v>
      </c>
      <c r="H61" s="32" t="inlineStr">
        <is>
          <t>Helium 10 Xray (Amazon.ca, CAD), 2026-10-14</t>
        </is>
      </c>
      <c r="I61" s="60" t="n">
        <v>54.67</v>
      </c>
      <c r="J61" s="61" t="inlineStr">
        <is>
          <t>2026-03-30</t>
        </is>
      </c>
      <c r="K61" s="33" t="n">
        <v>19.79</v>
      </c>
      <c r="L61" s="62" t="n">
        <v>0.3619901225535028</v>
      </c>
      <c r="M61" s="63" t="n"/>
      <c r="N61" s="32" t="inlineStr">
        <is>
          <t>Active</t>
        </is>
      </c>
      <c r="O61" s="32" t="n"/>
      <c r="P61" s="64" t="n">
        <v>4.4</v>
      </c>
      <c r="Q61" s="63" t="n">
        <v>1090</v>
      </c>
      <c r="R61" s="63" t="n">
        <v>64523</v>
      </c>
      <c r="S61" s="63"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2" t="n"/>
      <c r="M62" s="63" t="n"/>
      <c r="N62" s="32" t="inlineStr">
        <is>
          <t>Inactive</t>
        </is>
      </c>
      <c r="O62" s="32" t="n"/>
      <c r="P62" s="64" t="n"/>
      <c r="Q62" s="63" t="n"/>
      <c r="R62" s="63" t="n"/>
      <c r="S62" s="63"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59" t="n">
        <v>55.22</v>
      </c>
      <c r="H63" s="32" t="inlineStr">
        <is>
          <t>Helium 10 Xray (Amazon.ca, CAD), 2026-10-14</t>
        </is>
      </c>
      <c r="I63" s="60" t="n">
        <v>55.03</v>
      </c>
      <c r="J63" s="61" t="inlineStr">
        <is>
          <t>2026-03-30</t>
        </is>
      </c>
      <c r="K63" s="33" t="n">
        <v>21.04</v>
      </c>
      <c r="L63" s="62" t="n">
        <v>0.3823369071415592</v>
      </c>
      <c r="M63" s="63" t="n"/>
      <c r="N63" s="32" t="inlineStr">
        <is>
          <t>Active</t>
        </is>
      </c>
      <c r="O63" s="32" t="n"/>
      <c r="P63" s="64" t="n">
        <v>4.4</v>
      </c>
      <c r="Q63" s="63" t="n">
        <v>1090</v>
      </c>
      <c r="R63" s="63" t="n">
        <v>64523</v>
      </c>
      <c r="S63" s="63"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0" t="n">
        <v>55.19</v>
      </c>
      <c r="J64" s="61" t="inlineStr">
        <is>
          <t>2026-03-30</t>
        </is>
      </c>
      <c r="K64" s="33" t="n">
        <v>21.43</v>
      </c>
      <c r="L64" s="62" t="n">
        <v>0.3882949809748142</v>
      </c>
      <c r="M64" s="63" t="n"/>
      <c r="N64" s="32" t="inlineStr">
        <is>
          <t>Inactive</t>
        </is>
      </c>
      <c r="O64" s="32" t="n"/>
      <c r="P64" s="64" t="n"/>
      <c r="Q64" s="63" t="n"/>
      <c r="R64" s="63" t="n"/>
      <c r="S64" s="63"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0" t="n">
        <v>49.95</v>
      </c>
      <c r="J65" s="61" t="inlineStr">
        <is>
          <t>2026-03-30</t>
        </is>
      </c>
      <c r="K65" s="33" t="n">
        <v>20.79</v>
      </c>
      <c r="L65" s="62" t="n">
        <v>0.4162162162162162</v>
      </c>
      <c r="M65" s="63" t="n">
        <v>0</v>
      </c>
      <c r="N65" s="32" t="inlineStr">
        <is>
          <t>Active</t>
        </is>
      </c>
      <c r="O65" s="32" t="n"/>
      <c r="P65" s="64" t="n">
        <v>4.4</v>
      </c>
      <c r="Q65" s="63" t="n">
        <v>1090</v>
      </c>
      <c r="R65" s="63" t="n">
        <v>64523</v>
      </c>
      <c r="S65" s="63"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59" t="n">
        <v>49.95</v>
      </c>
      <c r="H66" s="32" t="inlineStr">
        <is>
          <t>Helium 10 Xray (Amazon.ca, CAD), 2026-10-14</t>
        </is>
      </c>
      <c r="I66" s="60" t="n">
        <v>49.95</v>
      </c>
      <c r="J66" s="61" t="inlineStr">
        <is>
          <t>2026-03-30</t>
        </is>
      </c>
      <c r="K66" s="33" t="n">
        <v>21.12</v>
      </c>
      <c r="L66" s="62" t="n">
        <v>0.4228228228228227</v>
      </c>
      <c r="M66" s="63" t="n">
        <v>0</v>
      </c>
      <c r="N66" s="32" t="inlineStr">
        <is>
          <t>Active</t>
        </is>
      </c>
      <c r="O66" s="32" t="n"/>
      <c r="P66" s="64" t="n">
        <v>4.4</v>
      </c>
      <c r="Q66" s="63" t="n">
        <v>1090</v>
      </c>
      <c r="R66" s="63" t="n">
        <v>64523</v>
      </c>
      <c r="S66" s="63"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59" t="n">
        <v>49.95</v>
      </c>
      <c r="H67" s="32" t="inlineStr">
        <is>
          <t>Helium 10 Xray (Amazon.ca, CAD), 2026-10-14</t>
        </is>
      </c>
      <c r="I67" s="60" t="n">
        <v>49.95</v>
      </c>
      <c r="J67" s="61" t="inlineStr">
        <is>
          <t>2026-03-30</t>
        </is>
      </c>
      <c r="K67" s="33" t="n">
        <v>21.03</v>
      </c>
      <c r="L67" s="62" t="n">
        <v>0.421021021021021</v>
      </c>
      <c r="M67" s="63" t="n">
        <v>0</v>
      </c>
      <c r="N67" s="32" t="inlineStr">
        <is>
          <t>Active</t>
        </is>
      </c>
      <c r="O67" s="32" t="n"/>
      <c r="P67" s="64" t="n">
        <v>4.4</v>
      </c>
      <c r="Q67" s="63" t="n">
        <v>1090</v>
      </c>
      <c r="R67" s="63" t="n">
        <v>64523</v>
      </c>
      <c r="S67" s="63"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59" t="n">
        <v>49.95</v>
      </c>
      <c r="H68" s="32" t="inlineStr">
        <is>
          <t>Helium 10 Xray (Amazon.ca, CAD), 2026-10-14</t>
        </is>
      </c>
      <c r="I68" s="60" t="n">
        <v>49.95</v>
      </c>
      <c r="J68" s="61" t="inlineStr">
        <is>
          <t>2026-03-30</t>
        </is>
      </c>
      <c r="K68" s="33" t="n">
        <v>20.79</v>
      </c>
      <c r="L68" s="62" t="n">
        <v>0.4162162162162162</v>
      </c>
      <c r="M68" s="63" t="n">
        <v>0</v>
      </c>
      <c r="N68" s="32" t="inlineStr">
        <is>
          <t>Active</t>
        </is>
      </c>
      <c r="O68" s="32" t="n"/>
      <c r="P68" s="64" t="n">
        <v>4.4</v>
      </c>
      <c r="Q68" s="63" t="n">
        <v>1090</v>
      </c>
      <c r="R68" s="63" t="n">
        <v>64523</v>
      </c>
      <c r="S68" s="63"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59" t="n">
        <v>49.95</v>
      </c>
      <c r="H69" s="32" t="inlineStr">
        <is>
          <t>Helium 10 Xray (Amazon.ca, CAD), 2026-10-14</t>
        </is>
      </c>
      <c r="I69" s="60" t="n">
        <v>49.95</v>
      </c>
      <c r="J69" s="61" t="inlineStr">
        <is>
          <t>2026-03-30</t>
        </is>
      </c>
      <c r="K69" s="33" t="n">
        <v>21.12</v>
      </c>
      <c r="L69" s="62" t="n">
        <v>0.4228228228228227</v>
      </c>
      <c r="M69" s="63" t="n">
        <v>0</v>
      </c>
      <c r="N69" s="32" t="inlineStr">
        <is>
          <t>Active</t>
        </is>
      </c>
      <c r="O69" s="32" t="n"/>
      <c r="P69" s="64" t="n">
        <v>4.4</v>
      </c>
      <c r="Q69" s="63" t="n">
        <v>1090</v>
      </c>
      <c r="R69" s="63" t="n">
        <v>64523</v>
      </c>
      <c r="S69" s="63"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59" t="n">
        <v>61.36</v>
      </c>
      <c r="H70" s="32" t="inlineStr">
        <is>
          <t>Helium 10 Xray (Amazon.ca, CAD), 2026-10-14</t>
        </is>
      </c>
      <c r="I70" s="60" t="n">
        <v>61.43</v>
      </c>
      <c r="J70" s="61" t="inlineStr">
        <is>
          <t>2026-03-30</t>
        </is>
      </c>
      <c r="K70" s="33" t="n">
        <v>24.81</v>
      </c>
      <c r="L70" s="62" t="n">
        <v>0.4038743285039883</v>
      </c>
      <c r="M70" s="63" t="n">
        <v>0</v>
      </c>
      <c r="N70" s="32" t="inlineStr">
        <is>
          <t>Active</t>
        </is>
      </c>
      <c r="O70" s="32" t="n"/>
      <c r="P70" s="64" t="n">
        <v>4.4</v>
      </c>
      <c r="Q70" s="63" t="n">
        <v>1090</v>
      </c>
      <c r="R70" s="63" t="n">
        <v>64523</v>
      </c>
      <c r="S70" s="63"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59" t="n">
        <v>49.95</v>
      </c>
      <c r="H71" s="32" t="inlineStr">
        <is>
          <t>Helium 10 Xray (Amazon.ca, CAD), 2026-10-14</t>
        </is>
      </c>
      <c r="I71" s="60" t="n">
        <v>49.95</v>
      </c>
      <c r="J71" s="61" t="inlineStr">
        <is>
          <t>2026-03-30</t>
        </is>
      </c>
      <c r="K71" s="33" t="n">
        <v>21.46</v>
      </c>
      <c r="L71" s="62" t="n">
        <v>0.4296296296296296</v>
      </c>
      <c r="M71" s="63" t="n">
        <v>0</v>
      </c>
      <c r="N71" s="32" t="inlineStr">
        <is>
          <t>Active</t>
        </is>
      </c>
      <c r="O71" s="32" t="n"/>
      <c r="P71" s="64" t="n">
        <v>4.4</v>
      </c>
      <c r="Q71" s="63" t="n">
        <v>1090</v>
      </c>
      <c r="R71" s="63" t="n">
        <v>64523</v>
      </c>
      <c r="S71" s="63"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59" t="n">
        <v>49.95</v>
      </c>
      <c r="H72" s="32" t="inlineStr">
        <is>
          <t>Helium 10 Xray (Amazon.ca, CAD), 2026-10-14</t>
        </is>
      </c>
      <c r="I72" s="60" t="n">
        <v>49.95</v>
      </c>
      <c r="J72" s="61" t="inlineStr">
        <is>
          <t>2026-03-30</t>
        </is>
      </c>
      <c r="K72" s="33" t="n">
        <v>21.03</v>
      </c>
      <c r="L72" s="62" t="n">
        <v>0.421021021021021</v>
      </c>
      <c r="M72" s="63" t="n">
        <v>0</v>
      </c>
      <c r="N72" s="32" t="inlineStr">
        <is>
          <t>Active</t>
        </is>
      </c>
      <c r="O72" s="32" t="n"/>
      <c r="P72" s="64" t="n">
        <v>4.4</v>
      </c>
      <c r="Q72" s="63" t="n">
        <v>1090</v>
      </c>
      <c r="R72" s="63" t="n">
        <v>64523</v>
      </c>
      <c r="S72" s="63"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0" t="n">
        <v>61.6</v>
      </c>
      <c r="J73" s="61" t="inlineStr">
        <is>
          <t>2026-03-30</t>
        </is>
      </c>
      <c r="K73" s="33" t="n">
        <v>24.74</v>
      </c>
      <c r="L73" s="62" t="n">
        <v>0.4016233766233766</v>
      </c>
      <c r="M73" s="63" t="n"/>
      <c r="N73" s="32" t="inlineStr">
        <is>
          <t>Inactive</t>
        </is>
      </c>
      <c r="O73" s="32" t="n"/>
      <c r="P73" s="64" t="n"/>
      <c r="Q73" s="63" t="n"/>
      <c r="R73" s="63" t="n"/>
      <c r="S73" s="63"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0" t="n">
        <v>61.16</v>
      </c>
      <c r="J74" s="61" t="inlineStr">
        <is>
          <t>2026-03-30</t>
        </is>
      </c>
      <c r="K74" s="33" t="n">
        <v>22.76</v>
      </c>
      <c r="L74" s="62" t="n">
        <v>0.3721386527141923</v>
      </c>
      <c r="M74" s="63" t="n"/>
      <c r="N74" s="32" t="inlineStr">
        <is>
          <t>Inactive</t>
        </is>
      </c>
      <c r="O74" s="32" t="n"/>
      <c r="P74" s="64" t="n"/>
      <c r="Q74" s="63" t="n"/>
      <c r="R74" s="63" t="n"/>
      <c r="S74" s="63"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0" t="n">
        <v>61.14</v>
      </c>
      <c r="J75" s="61" t="inlineStr">
        <is>
          <t>2026-03-16</t>
        </is>
      </c>
      <c r="K75" s="33" t="n">
        <v>28.22</v>
      </c>
      <c r="L75" s="62" t="n">
        <v>0.4615636244684331</v>
      </c>
      <c r="M75" s="63" t="n"/>
      <c r="N75" s="32" t="inlineStr">
        <is>
          <t>Inactive</t>
        </is>
      </c>
      <c r="O75" s="32" t="n"/>
      <c r="P75" s="64" t="n"/>
      <c r="Q75" s="63" t="n"/>
      <c r="R75" s="63" t="n"/>
      <c r="S75" s="63"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59" t="n">
        <v>61.36</v>
      </c>
      <c r="H76" s="32" t="inlineStr">
        <is>
          <t>Helium 10 Xray (Amazon.ca, CAD), 2026-10-14</t>
        </is>
      </c>
      <c r="I76" s="60" t="n">
        <v>61.14</v>
      </c>
      <c r="J76" s="61" t="inlineStr">
        <is>
          <t>2026-03-30</t>
        </is>
      </c>
      <c r="K76" s="33" t="n">
        <v>22.74</v>
      </c>
      <c r="L76" s="62" t="n">
        <v>0.3719332679097154</v>
      </c>
      <c r="M76" s="63" t="n">
        <v>0</v>
      </c>
      <c r="N76" s="32" t="inlineStr">
        <is>
          <t>Active</t>
        </is>
      </c>
      <c r="O76" s="32" t="n"/>
      <c r="P76" s="64" t="n">
        <v>4.4</v>
      </c>
      <c r="Q76" s="63" t="n">
        <v>1090</v>
      </c>
      <c r="R76" s="63" t="n">
        <v>64523</v>
      </c>
      <c r="S76" s="63"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59" t="n">
        <v>49.95</v>
      </c>
      <c r="H77" s="32" t="inlineStr">
        <is>
          <t>Helium 10 Xray (Amazon.ca, CAD), 2026-10-14</t>
        </is>
      </c>
      <c r="I77" s="60" t="n">
        <v>49.95</v>
      </c>
      <c r="J77" s="61" t="inlineStr">
        <is>
          <t>2026-03-30</t>
        </is>
      </c>
      <c r="K77" s="33" t="n">
        <v>18.71</v>
      </c>
      <c r="L77" s="62" t="n">
        <v>0.3745745745745745</v>
      </c>
      <c r="M77" s="63" t="n">
        <v>0</v>
      </c>
      <c r="N77" s="32" t="inlineStr">
        <is>
          <t>Active</t>
        </is>
      </c>
      <c r="O77" s="32" t="n"/>
      <c r="P77" s="64" t="n">
        <v>4.4</v>
      </c>
      <c r="Q77" s="63" t="n">
        <v>1090</v>
      </c>
      <c r="R77" s="63" t="n">
        <v>64523</v>
      </c>
      <c r="S77" s="63"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0" t="n">
        <v>61.01</v>
      </c>
      <c r="J78" s="61" t="inlineStr">
        <is>
          <t>2026-03-30</t>
        </is>
      </c>
      <c r="K78" s="33" t="n">
        <v>22.3</v>
      </c>
      <c r="L78" s="62" t="n">
        <v>0.3655138501884937</v>
      </c>
      <c r="M78" s="63" t="n">
        <v>0</v>
      </c>
      <c r="N78" s="32" t="inlineStr">
        <is>
          <t>Inactive</t>
        </is>
      </c>
      <c r="O78" s="32" t="n"/>
      <c r="P78" s="64" t="n"/>
      <c r="Q78" s="63" t="n"/>
      <c r="R78" s="63" t="n"/>
      <c r="S78" s="63"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0" t="n">
        <v>61.16</v>
      </c>
      <c r="J79" s="61" t="inlineStr">
        <is>
          <t>2026-02-28</t>
        </is>
      </c>
      <c r="K79" s="33" t="n">
        <v>28.23999999999999</v>
      </c>
      <c r="L79" s="62" t="n">
        <v>0.461739699149771</v>
      </c>
      <c r="M79" s="63" t="n"/>
      <c r="N79" s="32" t="inlineStr">
        <is>
          <t>Inactive</t>
        </is>
      </c>
      <c r="O79" s="32" t="n"/>
      <c r="P79" s="64" t="n"/>
      <c r="Q79" s="63" t="n"/>
      <c r="R79" s="63" t="n"/>
      <c r="S79" s="63"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59" t="n">
        <v>61.36</v>
      </c>
      <c r="H80" s="32" t="inlineStr">
        <is>
          <t>Helium 10 Xray (Amazon.ca, CAD), 2026-10-14</t>
        </is>
      </c>
      <c r="I80" s="60" t="n">
        <v>61.1</v>
      </c>
      <c r="J80" s="61" t="inlineStr">
        <is>
          <t>2026-03-30</t>
        </is>
      </c>
      <c r="K80" s="33" t="n">
        <v>22.7</v>
      </c>
      <c r="L80" s="62" t="n">
        <v>0.3715220949263502</v>
      </c>
      <c r="M80" s="63" t="n">
        <v>0</v>
      </c>
      <c r="N80" s="32" t="inlineStr">
        <is>
          <t>Active</t>
        </is>
      </c>
      <c r="O80" s="32" t="n"/>
      <c r="P80" s="64" t="n">
        <v>4.4</v>
      </c>
      <c r="Q80" s="63" t="n">
        <v>1090</v>
      </c>
      <c r="R80" s="63" t="n">
        <v>64523</v>
      </c>
      <c r="S80" s="63"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59" t="n">
        <v>49.95</v>
      </c>
      <c r="H81" s="32" t="inlineStr">
        <is>
          <t>Helium 10 Xray (Amazon.ca, CAD), 2026-10-14</t>
        </is>
      </c>
      <c r="I81" s="60" t="n">
        <v>49.95</v>
      </c>
      <c r="J81" s="61" t="inlineStr">
        <is>
          <t>2026-03-30</t>
        </is>
      </c>
      <c r="K81" s="33" t="n">
        <v>20.79</v>
      </c>
      <c r="L81" s="62" t="n">
        <v>0.4162162162162162</v>
      </c>
      <c r="M81" s="63" t="n">
        <v>0</v>
      </c>
      <c r="N81" s="32" t="inlineStr">
        <is>
          <t>Active</t>
        </is>
      </c>
      <c r="O81" s="32" t="n"/>
      <c r="P81" s="64" t="n">
        <v>4.4</v>
      </c>
      <c r="Q81" s="63" t="n">
        <v>1090</v>
      </c>
      <c r="R81" s="63" t="n">
        <v>64523</v>
      </c>
      <c r="S81" s="63"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59" t="n">
        <v>46.95</v>
      </c>
      <c r="H82" s="32" t="inlineStr">
        <is>
          <t>Helium 10 Xray (Amazon.ca, CAD), 2026-10-14</t>
        </is>
      </c>
      <c r="I82" s="60" t="n">
        <v>46.95</v>
      </c>
      <c r="J82" s="61" t="inlineStr">
        <is>
          <t>2026-03-30</t>
        </is>
      </c>
      <c r="K82" s="33" t="n">
        <v>20.21000000000001</v>
      </c>
      <c r="L82" s="62" t="n">
        <v>0.4304579339723111</v>
      </c>
      <c r="M82" s="63" t="n">
        <v>0</v>
      </c>
      <c r="N82" s="32" t="inlineStr">
        <is>
          <t>Active</t>
        </is>
      </c>
      <c r="O82" s="32" t="n"/>
      <c r="P82" s="64" t="n">
        <v>4.4</v>
      </c>
      <c r="Q82" s="63" t="n">
        <v>1090</v>
      </c>
      <c r="R82" s="63" t="n">
        <v>64523</v>
      </c>
      <c r="S82" s="63"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0" t="n">
        <v>46.95</v>
      </c>
      <c r="J83" s="61" t="inlineStr">
        <is>
          <t>2026-03-30</t>
        </is>
      </c>
      <c r="K83" s="33" t="n">
        <v>19.58000000000001</v>
      </c>
      <c r="L83" s="62" t="n">
        <v>0.4170394036208734</v>
      </c>
      <c r="M83" s="63" t="n"/>
      <c r="N83" s="32" t="inlineStr">
        <is>
          <t>Inactive</t>
        </is>
      </c>
      <c r="O83" s="32" t="n"/>
      <c r="P83" s="64" t="n"/>
      <c r="Q83" s="63" t="n"/>
      <c r="R83" s="63" t="n"/>
      <c r="S83" s="63"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59" t="n">
        <v>46.95</v>
      </c>
      <c r="H84" s="32" t="inlineStr">
        <is>
          <t>Helium 10 Xray (Amazon.ca, CAD), 2026-10-14</t>
        </is>
      </c>
      <c r="I84" s="60" t="n">
        <v>46.95</v>
      </c>
      <c r="J84" s="61" t="inlineStr">
        <is>
          <t>2026-03-30</t>
        </is>
      </c>
      <c r="K84" s="33" t="n">
        <v>19.97000000000001</v>
      </c>
      <c r="L84" s="62" t="n">
        <v>0.4253461128860491</v>
      </c>
      <c r="M84" s="63" t="n">
        <v>0</v>
      </c>
      <c r="N84" s="32" t="inlineStr">
        <is>
          <t>Active</t>
        </is>
      </c>
      <c r="O84" s="32" t="n"/>
      <c r="P84" s="64" t="n">
        <v>4.4</v>
      </c>
      <c r="Q84" s="63" t="n">
        <v>1090</v>
      </c>
      <c r="R84" s="63" t="n">
        <v>64523</v>
      </c>
      <c r="S84" s="63"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59" t="n">
        <v>46.95</v>
      </c>
      <c r="H85" s="32" t="inlineStr">
        <is>
          <t>Helium 10 Xray (Amazon.ca, CAD), 2026-10-14</t>
        </is>
      </c>
      <c r="I85" s="60" t="n">
        <v>46.95</v>
      </c>
      <c r="J85" s="61" t="inlineStr">
        <is>
          <t>2026-03-30</t>
        </is>
      </c>
      <c r="K85" s="33" t="n">
        <v>20.21000000000001</v>
      </c>
      <c r="L85" s="62" t="n">
        <v>0.4304579339723111</v>
      </c>
      <c r="M85" s="63" t="n">
        <v>0</v>
      </c>
      <c r="N85" s="32" t="inlineStr">
        <is>
          <t>Active</t>
        </is>
      </c>
      <c r="O85" s="32" t="n"/>
      <c r="P85" s="64" t="n">
        <v>4.4</v>
      </c>
      <c r="Q85" s="63" t="n">
        <v>1090</v>
      </c>
      <c r="R85" s="63" t="n">
        <v>64523</v>
      </c>
      <c r="S85" s="63"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0" t="n">
        <v>57.82</v>
      </c>
      <c r="J86" s="61" t="inlineStr">
        <is>
          <t>2026-03-30</t>
        </is>
      </c>
      <c r="K86" s="33" t="n">
        <v>23.02</v>
      </c>
      <c r="L86" s="62" t="n">
        <v>0.398132134209616</v>
      </c>
      <c r="M86" s="63" t="n"/>
      <c r="N86" s="32" t="inlineStr">
        <is>
          <t>Inactive</t>
        </is>
      </c>
      <c r="O86" s="32" t="n"/>
      <c r="P86" s="64" t="n"/>
      <c r="Q86" s="63" t="n"/>
      <c r="R86" s="63" t="n"/>
      <c r="S86" s="63"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59" t="n">
        <v>46.95</v>
      </c>
      <c r="H87" s="32" t="inlineStr">
        <is>
          <t>Helium 10 Xray (Amazon.ca, CAD), 2026-10-14</t>
        </is>
      </c>
      <c r="I87" s="60" t="n">
        <v>46.95</v>
      </c>
      <c r="J87" s="61" t="inlineStr">
        <is>
          <t>2026-03-30</t>
        </is>
      </c>
      <c r="K87" s="33" t="n">
        <v>20.21000000000001</v>
      </c>
      <c r="L87" s="62" t="n">
        <v>0.4304579339723111</v>
      </c>
      <c r="M87" s="63" t="n">
        <v>0</v>
      </c>
      <c r="N87" s="32" t="inlineStr">
        <is>
          <t>Active</t>
        </is>
      </c>
      <c r="O87" s="32" t="n"/>
      <c r="P87" s="64" t="n">
        <v>4.4</v>
      </c>
      <c r="Q87" s="63" t="n">
        <v>1090</v>
      </c>
      <c r="R87" s="63" t="n">
        <v>64523</v>
      </c>
      <c r="S87" s="63"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59" t="n">
        <v>46.95</v>
      </c>
      <c r="H88" s="32" t="inlineStr">
        <is>
          <t>Helium 10 Xray (Amazon.ca, CAD), 2026-10-14</t>
        </is>
      </c>
      <c r="I88" s="60" t="n">
        <v>46.95</v>
      </c>
      <c r="J88" s="61" t="inlineStr">
        <is>
          <t>2026-03-30</t>
        </is>
      </c>
      <c r="K88" s="33" t="n">
        <v>20.3</v>
      </c>
      <c r="L88" s="62" t="n">
        <v>0.4323748668796593</v>
      </c>
      <c r="M88" s="63" t="n">
        <v>0</v>
      </c>
      <c r="N88" s="32" t="inlineStr">
        <is>
          <t>Active</t>
        </is>
      </c>
      <c r="O88" s="32" t="n"/>
      <c r="P88" s="64" t="n">
        <v>4.4</v>
      </c>
      <c r="Q88" s="63" t="n">
        <v>1090</v>
      </c>
      <c r="R88" s="63" t="n">
        <v>64523</v>
      </c>
      <c r="S88" s="63"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59" t="n">
        <v>46.95</v>
      </c>
      <c r="H89" s="32" t="inlineStr">
        <is>
          <t>Helium 10 Xray (Amazon.ca, CAD), 2026-10-14</t>
        </is>
      </c>
      <c r="I89" s="60" t="n">
        <v>46.95</v>
      </c>
      <c r="J89" s="61" t="inlineStr">
        <is>
          <t>2026-03-30</t>
        </is>
      </c>
      <c r="K89" s="33" t="n">
        <v>19.97000000000001</v>
      </c>
      <c r="L89" s="62" t="n">
        <v>0.4253461128860491</v>
      </c>
      <c r="M89" s="63" t="n">
        <v>0</v>
      </c>
      <c r="N89" s="32" t="inlineStr">
        <is>
          <t>Active</t>
        </is>
      </c>
      <c r="O89" s="32" t="n"/>
      <c r="P89" s="64" t="n">
        <v>4.4</v>
      </c>
      <c r="Q89" s="63" t="n">
        <v>1090</v>
      </c>
      <c r="R89" s="63" t="n">
        <v>64523</v>
      </c>
      <c r="S89" s="63"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0" t="n">
        <v>57.52</v>
      </c>
      <c r="J90" s="61" t="inlineStr">
        <is>
          <t>2026-03-30</t>
        </is>
      </c>
      <c r="K90" s="33" t="n">
        <v>22.87</v>
      </c>
      <c r="L90" s="62" t="n">
        <v>0.3976008344923506</v>
      </c>
      <c r="M90" s="63" t="n"/>
      <c r="N90" s="32" t="inlineStr">
        <is>
          <t>Inactive</t>
        </is>
      </c>
      <c r="O90" s="32" t="n"/>
      <c r="P90" s="64" t="n"/>
      <c r="Q90" s="63" t="n"/>
      <c r="R90" s="63" t="n"/>
      <c r="S90" s="63"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59" t="n">
        <v>46.95</v>
      </c>
      <c r="H91" s="32" t="inlineStr">
        <is>
          <t>Helium 10 Xray (Amazon.ca, CAD), 2026-10-14</t>
        </is>
      </c>
      <c r="I91" s="60" t="n">
        <v>46.95</v>
      </c>
      <c r="J91" s="61" t="inlineStr">
        <is>
          <t>2026-03-30</t>
        </is>
      </c>
      <c r="K91" s="33" t="n">
        <v>20.21000000000001</v>
      </c>
      <c r="L91" s="62" t="n">
        <v>0.4304579339723111</v>
      </c>
      <c r="M91" s="63" t="n">
        <v>0</v>
      </c>
      <c r="N91" s="32" t="inlineStr">
        <is>
          <t>Active</t>
        </is>
      </c>
      <c r="O91" s="32" t="n"/>
      <c r="P91" s="64" t="n">
        <v>4.4</v>
      </c>
      <c r="Q91" s="63" t="n">
        <v>1090</v>
      </c>
      <c r="R91" s="63" t="n">
        <v>64523</v>
      </c>
      <c r="S91" s="63"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59" t="n">
        <v>46.95</v>
      </c>
      <c r="H92" s="32" t="inlineStr">
        <is>
          <t>Helium 10 Xray (Amazon.ca, CAD), 2026-10-14</t>
        </is>
      </c>
      <c r="I92" s="60" t="n">
        <v>46.95</v>
      </c>
      <c r="J92" s="61" t="inlineStr">
        <is>
          <t>2026-03-30</t>
        </is>
      </c>
      <c r="K92" s="33" t="n">
        <v>20.07</v>
      </c>
      <c r="L92" s="62" t="n">
        <v>0.4274760383386582</v>
      </c>
      <c r="M92" s="63" t="n">
        <v>0</v>
      </c>
      <c r="N92" s="32" t="inlineStr">
        <is>
          <t>Active</t>
        </is>
      </c>
      <c r="O92" s="32" t="n"/>
      <c r="P92" s="64" t="n">
        <v>4.4</v>
      </c>
      <c r="Q92" s="63" t="n">
        <v>1090</v>
      </c>
      <c r="R92" s="63" t="n">
        <v>64523</v>
      </c>
      <c r="S92" s="63"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0" t="n">
        <v>46.95</v>
      </c>
      <c r="J93" s="61" t="inlineStr">
        <is>
          <t>2026-03-30</t>
        </is>
      </c>
      <c r="K93" s="33" t="n">
        <v>20.39000000000001</v>
      </c>
      <c r="L93" s="62" t="n">
        <v>0.4342917997870076</v>
      </c>
      <c r="M93" s="63" t="n">
        <v>0</v>
      </c>
      <c r="N93" s="32" t="inlineStr">
        <is>
          <t>Active</t>
        </is>
      </c>
      <c r="O93" s="32" t="n"/>
      <c r="P93" s="64" t="n"/>
      <c r="Q93" s="63" t="n"/>
      <c r="R93" s="63" t="n"/>
      <c r="S93" s="63"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0" t="n">
        <v>46.95</v>
      </c>
      <c r="J94" s="61" t="inlineStr">
        <is>
          <t>2026-03-30</t>
        </is>
      </c>
      <c r="K94" s="33" t="n">
        <v>21.18000000000001</v>
      </c>
      <c r="L94" s="62" t="n">
        <v>0.45111821086262</v>
      </c>
      <c r="M94" s="63" t="n"/>
      <c r="N94" s="32" t="inlineStr">
        <is>
          <t>Inactive</t>
        </is>
      </c>
      <c r="O94" s="32" t="n"/>
      <c r="P94" s="64" t="n"/>
      <c r="Q94" s="63" t="n"/>
      <c r="R94" s="63" t="n"/>
      <c r="S94" s="63"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59" t="n">
        <v>46.95</v>
      </c>
      <c r="H95" s="32" t="inlineStr">
        <is>
          <t>Helium 10 Xray (Amazon.ca, CAD), 2026-10-14</t>
        </is>
      </c>
      <c r="I95" s="60" t="n">
        <v>46.95</v>
      </c>
      <c r="J95" s="61" t="inlineStr">
        <is>
          <t>2026-03-30</t>
        </is>
      </c>
      <c r="K95" s="33" t="n">
        <v>19.98</v>
      </c>
      <c r="L95" s="62" t="n">
        <v>0.42555910543131</v>
      </c>
      <c r="M95" s="63" t="n">
        <v>0</v>
      </c>
      <c r="N95" s="32" t="inlineStr">
        <is>
          <t>Active</t>
        </is>
      </c>
      <c r="O95" s="32" t="n"/>
      <c r="P95" s="64" t="n">
        <v>4.4</v>
      </c>
      <c r="Q95" s="63" t="n">
        <v>1090</v>
      </c>
      <c r="R95" s="63" t="n">
        <v>64523</v>
      </c>
      <c r="S95" s="63"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2" t="n"/>
      <c r="M96" s="63" t="n"/>
      <c r="N96" s="32" t="inlineStr">
        <is>
          <t>Inactive</t>
        </is>
      </c>
      <c r="O96" s="32" t="n"/>
      <c r="P96" s="64" t="n"/>
      <c r="Q96" s="63" t="n"/>
      <c r="R96" s="63" t="n"/>
      <c r="S96" s="63"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2" t="n"/>
      <c r="M97" s="63" t="n"/>
      <c r="N97" s="32" t="inlineStr">
        <is>
          <t>Inactive</t>
        </is>
      </c>
      <c r="O97" s="32" t="n"/>
      <c r="P97" s="64" t="n"/>
      <c r="Q97" s="63" t="n"/>
      <c r="R97" s="63" t="n"/>
      <c r="S97" s="63"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59" t="n">
        <v>57.68</v>
      </c>
      <c r="H98" s="32" t="inlineStr">
        <is>
          <t>Helium 10 Xray (Amazon.ca, CAD), 2026-10-14</t>
        </is>
      </c>
      <c r="I98" s="60" t="n">
        <v>57.25</v>
      </c>
      <c r="J98" s="61" t="inlineStr">
        <is>
          <t>2026-03-30</t>
        </is>
      </c>
      <c r="K98" s="33" t="n">
        <v>20.47</v>
      </c>
      <c r="L98" s="62" t="n">
        <v>0.3575545851528384</v>
      </c>
      <c r="M98" s="63" t="n">
        <v>0</v>
      </c>
      <c r="N98" s="32" t="inlineStr">
        <is>
          <t>Active</t>
        </is>
      </c>
      <c r="O98" s="32" t="n"/>
      <c r="P98" s="64" t="n">
        <v>4.4</v>
      </c>
      <c r="Q98" s="63" t="n">
        <v>1090</v>
      </c>
      <c r="R98" s="63" t="n">
        <v>64523</v>
      </c>
      <c r="S98" s="63"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59" t="n">
        <v>57.68</v>
      </c>
      <c r="H99" s="32" t="inlineStr">
        <is>
          <t>Helium 10 Xray (Amazon.ca, CAD), 2026-10-14</t>
        </is>
      </c>
      <c r="I99" s="60" t="n">
        <v>57.22</v>
      </c>
      <c r="J99" s="61" t="inlineStr">
        <is>
          <t>2026-03-30</t>
        </is>
      </c>
      <c r="K99" s="33" t="n">
        <v>20.45</v>
      </c>
      <c r="L99" s="62" t="n">
        <v>0.357392520097868</v>
      </c>
      <c r="M99" s="63" t="n"/>
      <c r="N99" s="32" t="inlineStr">
        <is>
          <t>Active</t>
        </is>
      </c>
      <c r="O99" s="32" t="n"/>
      <c r="P99" s="64" t="n">
        <v>4.4</v>
      </c>
      <c r="Q99" s="63" t="n">
        <v>1090</v>
      </c>
      <c r="R99" s="63" t="n">
        <v>64523</v>
      </c>
      <c r="S99" s="63"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0" t="n">
        <v>46.95</v>
      </c>
      <c r="J100" s="61" t="inlineStr">
        <is>
          <t>2026-03-30</t>
        </is>
      </c>
      <c r="K100" s="33" t="n">
        <v>17.25</v>
      </c>
      <c r="L100" s="62" t="n">
        <v>0.36741214057508</v>
      </c>
      <c r="M100" s="63" t="n"/>
      <c r="N100" s="32" t="inlineStr">
        <is>
          <t>Inactive</t>
        </is>
      </c>
      <c r="O100" s="32" t="n"/>
      <c r="P100" s="64" t="n"/>
      <c r="Q100" s="63" t="n"/>
      <c r="R100" s="63" t="n"/>
      <c r="S100" s="63"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59" t="n">
        <v>56.46</v>
      </c>
      <c r="H101" s="32" t="inlineStr">
        <is>
          <t>Helium 10 Xray (Amazon.ca, CAD), 2026-10-14</t>
        </is>
      </c>
      <c r="I101" s="60" t="n">
        <v>57.06</v>
      </c>
      <c r="J101" s="61" t="inlineStr">
        <is>
          <t>2026-03-30</t>
        </is>
      </c>
      <c r="K101" s="33" t="n">
        <v>20.09</v>
      </c>
      <c r="L101" s="62" t="n">
        <v>0.3520855240098143</v>
      </c>
      <c r="M101" s="63" t="n">
        <v>0</v>
      </c>
      <c r="N101" s="32" t="inlineStr">
        <is>
          <t>Active</t>
        </is>
      </c>
      <c r="O101" s="32" t="n"/>
      <c r="P101" s="64" t="n">
        <v>4.4</v>
      </c>
      <c r="Q101" s="63" t="n">
        <v>1090</v>
      </c>
      <c r="R101" s="63" t="n">
        <v>64523</v>
      </c>
      <c r="S101" s="63"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0" t="n">
        <v>57.25</v>
      </c>
      <c r="J102" s="61" t="inlineStr">
        <is>
          <t>2026-03-30</t>
        </is>
      </c>
      <c r="K102" s="33" t="n">
        <v>20.36</v>
      </c>
      <c r="L102" s="62" t="n">
        <v>0.3556331877729257</v>
      </c>
      <c r="M102" s="63" t="n"/>
      <c r="N102" s="32" t="inlineStr">
        <is>
          <t>Inactive</t>
        </is>
      </c>
      <c r="O102" s="32" t="n"/>
      <c r="P102" s="64" t="n"/>
      <c r="Q102" s="63" t="n"/>
      <c r="R102" s="63" t="n"/>
      <c r="S102" s="63"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59" t="n">
        <v>57.68</v>
      </c>
      <c r="H103" s="32" t="inlineStr">
        <is>
          <t>Helium 10 Xray (Amazon.ca, CAD), 2026-10-14</t>
        </is>
      </c>
      <c r="I103" s="60" t="n">
        <v>57.06</v>
      </c>
      <c r="J103" s="61" t="inlineStr">
        <is>
          <t>2026-03-30</t>
        </is>
      </c>
      <c r="K103" s="33" t="n">
        <v>20.31</v>
      </c>
      <c r="L103" s="62" t="n">
        <v>0.3559411146161935</v>
      </c>
      <c r="M103" s="63" t="n">
        <v>0</v>
      </c>
      <c r="N103" s="32" t="inlineStr">
        <is>
          <t>Active</t>
        </is>
      </c>
      <c r="O103" s="32" t="n"/>
      <c r="P103" s="64" t="n">
        <v>4.4</v>
      </c>
      <c r="Q103" s="63" t="n">
        <v>1090</v>
      </c>
      <c r="R103" s="63" t="n">
        <v>64523</v>
      </c>
      <c r="S103" s="63"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0" t="n">
        <v>57.12</v>
      </c>
      <c r="J104" s="61" t="inlineStr">
        <is>
          <t>2026-03-30</t>
        </is>
      </c>
      <c r="K104" s="33" t="n">
        <v>20.36</v>
      </c>
      <c r="L104" s="62" t="n">
        <v>0.3564425770308123</v>
      </c>
      <c r="M104" s="63" t="n"/>
      <c r="N104" s="32" t="inlineStr">
        <is>
          <t>Inactive</t>
        </is>
      </c>
      <c r="O104" s="32" t="n"/>
      <c r="P104" s="64" t="n"/>
      <c r="Q104" s="63" t="n"/>
      <c r="R104" s="63" t="n"/>
      <c r="S104" s="63"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59" t="n">
        <v>57.68</v>
      </c>
      <c r="H105" s="32" t="inlineStr">
        <is>
          <t>Helium 10 Xray (Amazon.ca, CAD), 2026-10-14</t>
        </is>
      </c>
      <c r="I105" s="60" t="n">
        <v>46.95</v>
      </c>
      <c r="J105" s="61" t="inlineStr">
        <is>
          <t>2026-03-30</t>
        </is>
      </c>
      <c r="K105" s="33" t="n">
        <v>19.57000000000001</v>
      </c>
      <c r="L105" s="62" t="n">
        <v>0.4168264110756125</v>
      </c>
      <c r="M105" s="63" t="n">
        <v>0</v>
      </c>
      <c r="N105" s="32" t="inlineStr">
        <is>
          <t>Active</t>
        </is>
      </c>
      <c r="O105" s="32" t="n"/>
      <c r="P105" s="64" t="n">
        <v>4.4</v>
      </c>
      <c r="Q105" s="63" t="n">
        <v>1090</v>
      </c>
      <c r="R105" s="63" t="n">
        <v>64523</v>
      </c>
      <c r="S105" s="63"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0" t="n">
        <v>57.52</v>
      </c>
      <c r="J106" s="61" t="inlineStr">
        <is>
          <t>2026-03-30</t>
        </is>
      </c>
      <c r="K106" s="33" t="n">
        <v>23.12</v>
      </c>
      <c r="L106" s="62" t="n">
        <v>0.4019471488178026</v>
      </c>
      <c r="M106" s="63" t="n">
        <v>0</v>
      </c>
      <c r="N106" s="32" t="inlineStr">
        <is>
          <t>Inactive</t>
        </is>
      </c>
      <c r="O106" s="32" t="n"/>
      <c r="P106" s="64" t="n"/>
      <c r="Q106" s="63" t="n"/>
      <c r="R106" s="63" t="n"/>
      <c r="S106" s="63"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0" t="n">
        <v>50.07</v>
      </c>
      <c r="J107" s="61" t="inlineStr">
        <is>
          <t>2026-03-30</t>
        </is>
      </c>
      <c r="K107" s="33" t="n">
        <v>19.14</v>
      </c>
      <c r="L107" s="62" t="n">
        <v>0.3822648292390654</v>
      </c>
      <c r="M107" s="63" t="n"/>
      <c r="N107" s="32" t="inlineStr">
        <is>
          <t>Inactive</t>
        </is>
      </c>
      <c r="O107" s="32" t="n"/>
      <c r="P107" s="64" t="n"/>
      <c r="Q107" s="63" t="n"/>
      <c r="R107" s="63" t="n"/>
      <c r="S107" s="63"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0" t="n">
        <v>41.95</v>
      </c>
      <c r="J108" s="61" t="inlineStr">
        <is>
          <t>2026-03-30</t>
        </is>
      </c>
      <c r="K108" s="33" t="n">
        <v>19.59</v>
      </c>
      <c r="L108" s="62" t="n">
        <v>0.466984505363528</v>
      </c>
      <c r="M108" s="63" t="n"/>
      <c r="N108" s="32" t="inlineStr">
        <is>
          <t>Inactive</t>
        </is>
      </c>
      <c r="O108" s="32" t="n"/>
      <c r="P108" s="64" t="n"/>
      <c r="Q108" s="63" t="n"/>
      <c r="R108" s="63" t="n"/>
      <c r="S108" s="63"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59" t="n">
        <v>41.95</v>
      </c>
      <c r="H109" s="32" t="inlineStr">
        <is>
          <t>Helium 10 Xray (Amazon.ca, CAD), 2026-10-14</t>
        </is>
      </c>
      <c r="I109" s="60" t="n">
        <v>41.95</v>
      </c>
      <c r="J109" s="61" t="inlineStr">
        <is>
          <t>2026-03-30</t>
        </is>
      </c>
      <c r="K109" s="33" t="n">
        <v>18.28</v>
      </c>
      <c r="L109" s="62" t="n">
        <v>0.4357568533969012</v>
      </c>
      <c r="M109" s="63" t="n">
        <v>0</v>
      </c>
      <c r="N109" s="32" t="inlineStr">
        <is>
          <t>Active</t>
        </is>
      </c>
      <c r="O109" s="32" t="n"/>
      <c r="P109" s="64" t="n">
        <v>4.4</v>
      </c>
      <c r="Q109" s="63" t="n">
        <v>1090</v>
      </c>
      <c r="R109" s="63" t="n">
        <v>64523</v>
      </c>
      <c r="S109" s="63"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59" t="n">
        <v>51.53</v>
      </c>
      <c r="H110" s="32" t="inlineStr">
        <is>
          <t>Helium 10 Xray (Amazon.ca, CAD), 2026-10-14</t>
        </is>
      </c>
      <c r="I110" s="60" t="n">
        <v>51.08</v>
      </c>
      <c r="J110" s="61" t="inlineStr">
        <is>
          <t>2026-03-30</t>
        </is>
      </c>
      <c r="K110" s="33" t="n">
        <v>20</v>
      </c>
      <c r="L110" s="62" t="n">
        <v>0.3915426781519187</v>
      </c>
      <c r="M110" s="63" t="n"/>
      <c r="N110" s="32" t="inlineStr">
        <is>
          <t>Active</t>
        </is>
      </c>
      <c r="O110" s="32" t="n"/>
      <c r="P110" s="64" t="n">
        <v>4.4</v>
      </c>
      <c r="Q110" s="63" t="n">
        <v>1090</v>
      </c>
      <c r="R110" s="63" t="n">
        <v>64523</v>
      </c>
      <c r="S110" s="63"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59" t="n">
        <v>51.53</v>
      </c>
      <c r="H111" s="32" t="inlineStr">
        <is>
          <t>Helium 10 Xray (Amazon.ca, CAD), 2026-10-14</t>
        </is>
      </c>
      <c r="I111" s="60" t="n">
        <v>41.95</v>
      </c>
      <c r="J111" s="61" t="inlineStr">
        <is>
          <t>2026-03-30</t>
        </is>
      </c>
      <c r="K111" s="33" t="n">
        <v>18.83</v>
      </c>
      <c r="L111" s="62" t="n">
        <v>0.4488676996424315</v>
      </c>
      <c r="M111" s="63" t="n"/>
      <c r="N111" s="32" t="inlineStr">
        <is>
          <t>Active</t>
        </is>
      </c>
      <c r="O111" s="32" t="n"/>
      <c r="P111" s="64" t="n">
        <v>4.4</v>
      </c>
      <c r="Q111" s="63" t="n">
        <v>1090</v>
      </c>
      <c r="R111" s="63" t="n">
        <v>64523</v>
      </c>
      <c r="S111" s="63"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59" t="n">
        <v>51.53</v>
      </c>
      <c r="H112" s="32" t="inlineStr">
        <is>
          <t>Helium 10 Xray (Amazon.ca, CAD), 2026-10-14</t>
        </is>
      </c>
      <c r="I112" s="60" t="n">
        <v>50.12</v>
      </c>
      <c r="J112" s="61" t="inlineStr">
        <is>
          <t>2026-03-30</t>
        </is>
      </c>
      <c r="K112" s="33" t="n">
        <v>20.41999999999999</v>
      </c>
      <c r="L112" s="62" t="n">
        <v>0.4074221867517956</v>
      </c>
      <c r="M112" s="63" t="n">
        <v>0</v>
      </c>
      <c r="N112" s="32" t="inlineStr">
        <is>
          <t>Active</t>
        </is>
      </c>
      <c r="O112" s="32" t="n"/>
      <c r="P112" s="64" t="n">
        <v>4.4</v>
      </c>
      <c r="Q112" s="63" t="n">
        <v>1090</v>
      </c>
      <c r="R112" s="63" t="n">
        <v>64523</v>
      </c>
      <c r="S112" s="63"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59" t="n">
        <v>51.53</v>
      </c>
      <c r="H113" s="32" t="inlineStr">
        <is>
          <t>Helium 10 Xray (Amazon.ca, CAD), 2026-10-14</t>
        </is>
      </c>
      <c r="I113" s="60" t="n">
        <v>50.18</v>
      </c>
      <c r="J113" s="61" t="inlineStr">
        <is>
          <t>2026-03-30</t>
        </is>
      </c>
      <c r="K113" s="33" t="n">
        <v>20.47</v>
      </c>
      <c r="L113" s="62" t="n">
        <v>0.4079314467915504</v>
      </c>
      <c r="M113" s="63" t="n"/>
      <c r="N113" s="32" t="inlineStr">
        <is>
          <t>Active</t>
        </is>
      </c>
      <c r="O113" s="32" t="n"/>
      <c r="P113" s="64" t="n">
        <v>4.4</v>
      </c>
      <c r="Q113" s="63" t="n">
        <v>1090</v>
      </c>
      <c r="R113" s="63" t="n">
        <v>64523</v>
      </c>
      <c r="S113" s="63"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59" t="n">
        <v>51.53</v>
      </c>
      <c r="H114" s="32" t="inlineStr">
        <is>
          <t>Helium 10 Xray (Amazon.ca, CAD), 2026-10-14</t>
        </is>
      </c>
      <c r="I114" s="60" t="n">
        <v>50.12</v>
      </c>
      <c r="J114" s="61" t="inlineStr">
        <is>
          <t>2026-03-30</t>
        </is>
      </c>
      <c r="K114" s="33" t="n">
        <v>20.13999999999999</v>
      </c>
      <c r="L114" s="62" t="n">
        <v>0.4018355945730246</v>
      </c>
      <c r="M114" s="63" t="n"/>
      <c r="N114" s="32" t="inlineStr">
        <is>
          <t>Active</t>
        </is>
      </c>
      <c r="O114" s="32" t="n"/>
      <c r="P114" s="64" t="n">
        <v>4.4</v>
      </c>
      <c r="Q114" s="63" t="n">
        <v>1090</v>
      </c>
      <c r="R114" s="63" t="n">
        <v>64523</v>
      </c>
      <c r="S114" s="63"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59" t="n">
        <v>41.95</v>
      </c>
      <c r="H115" s="32" t="inlineStr">
        <is>
          <t>Helium 10 Xray (Amazon.ca, CAD), 2026-10-14</t>
        </is>
      </c>
      <c r="I115" s="60" t="n">
        <v>41.95</v>
      </c>
      <c r="J115" s="61" t="inlineStr">
        <is>
          <t>2026-03-30</t>
        </is>
      </c>
      <c r="K115" s="33" t="n">
        <v>18.28</v>
      </c>
      <c r="L115" s="62" t="n">
        <v>0.4357568533969012</v>
      </c>
      <c r="M115" s="63" t="n"/>
      <c r="N115" s="32" t="inlineStr">
        <is>
          <t>Active</t>
        </is>
      </c>
      <c r="O115" s="32" t="n"/>
      <c r="P115" s="64" t="n">
        <v>4.4</v>
      </c>
      <c r="Q115" s="63" t="n">
        <v>1090</v>
      </c>
      <c r="R115" s="63" t="n">
        <v>64523</v>
      </c>
      <c r="S115" s="63"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59" t="n">
        <v>51.53</v>
      </c>
      <c r="H116" s="32" t="inlineStr">
        <is>
          <t>Helium 10 Xray (Amazon.ca, CAD), 2026-10-14</t>
        </is>
      </c>
      <c r="I116" s="60" t="n">
        <v>41.95</v>
      </c>
      <c r="J116" s="61" t="inlineStr">
        <is>
          <t>2026-03-30</t>
        </is>
      </c>
      <c r="K116" s="33" t="n">
        <v>18.83</v>
      </c>
      <c r="L116" s="62" t="n">
        <v>0.4488676996424315</v>
      </c>
      <c r="M116" s="63" t="n"/>
      <c r="N116" s="32" t="inlineStr">
        <is>
          <t>Active</t>
        </is>
      </c>
      <c r="O116" s="32" t="n"/>
      <c r="P116" s="64" t="n">
        <v>4.4</v>
      </c>
      <c r="Q116" s="63" t="n">
        <v>1090</v>
      </c>
      <c r="R116" s="63" t="n">
        <v>64523</v>
      </c>
      <c r="S116" s="63"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59" t="n">
        <v>51.53</v>
      </c>
      <c r="H117" s="32" t="inlineStr">
        <is>
          <t>Helium 10 Xray (Amazon.ca, CAD), 2026-10-14</t>
        </is>
      </c>
      <c r="I117" s="60" t="n">
        <v>41.95</v>
      </c>
      <c r="J117" s="61" t="inlineStr">
        <is>
          <t>2026-03-30</t>
        </is>
      </c>
      <c r="K117" s="33" t="n">
        <v>18.03</v>
      </c>
      <c r="L117" s="62" t="n">
        <v>0.429797377830751</v>
      </c>
      <c r="M117" s="63" t="n">
        <v>0</v>
      </c>
      <c r="N117" s="32" t="inlineStr">
        <is>
          <t>Active</t>
        </is>
      </c>
      <c r="O117" s="32" t="n"/>
      <c r="P117" s="64" t="n">
        <v>4.4</v>
      </c>
      <c r="Q117" s="63" t="n">
        <v>1090</v>
      </c>
      <c r="R117" s="63" t="n">
        <v>64523</v>
      </c>
      <c r="S117" s="63"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59" t="n">
        <v>61.07</v>
      </c>
      <c r="H118" s="32" t="inlineStr">
        <is>
          <t>Helium 10 Xray (Amazon.ca, CAD), 2026-10-14</t>
        </is>
      </c>
      <c r="I118" s="60" t="n">
        <v>62.96</v>
      </c>
      <c r="J118" s="61" t="inlineStr">
        <is>
          <t>2026-03-30</t>
        </is>
      </c>
      <c r="K118" s="33" t="n">
        <v>31.34000000000001</v>
      </c>
      <c r="L118" s="62" t="n">
        <v>0.4977763659466328</v>
      </c>
      <c r="M118" s="63" t="n">
        <v>0</v>
      </c>
      <c r="N118" s="32" t="inlineStr">
        <is>
          <t>Active</t>
        </is>
      </c>
      <c r="O118" s="32" t="n"/>
      <c r="P118" s="64" t="n">
        <v>4.4</v>
      </c>
      <c r="Q118" s="63" t="n">
        <v>1090</v>
      </c>
      <c r="R118" s="63" t="n">
        <v>64523</v>
      </c>
      <c r="S118" s="63"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59" t="n">
        <v>51.53</v>
      </c>
      <c r="H119" s="32" t="inlineStr">
        <is>
          <t>Helium 10 Xray (Amazon.ca, CAD), 2026-10-14</t>
        </is>
      </c>
      <c r="I119" s="60" t="n">
        <v>41.95</v>
      </c>
      <c r="J119" s="61" t="inlineStr">
        <is>
          <t>2026-03-30</t>
        </is>
      </c>
      <c r="K119" s="33" t="n">
        <v>18.28</v>
      </c>
      <c r="L119" s="62" t="n">
        <v>0.4357568533969012</v>
      </c>
      <c r="M119" s="63" t="n"/>
      <c r="N119" s="32" t="inlineStr">
        <is>
          <t>Active</t>
        </is>
      </c>
      <c r="O119" s="32" t="n"/>
      <c r="P119" s="64" t="n">
        <v>4.4</v>
      </c>
      <c r="Q119" s="63" t="n">
        <v>1090</v>
      </c>
      <c r="R119" s="63" t="n">
        <v>64523</v>
      </c>
      <c r="S119" s="63"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59" t="n">
        <v>51.53</v>
      </c>
      <c r="H120" s="32" t="inlineStr">
        <is>
          <t>Helium 10 Xray (Amazon.ca, CAD), 2026-10-14</t>
        </is>
      </c>
      <c r="I120" s="60" t="n">
        <v>41.95</v>
      </c>
      <c r="J120" s="61" t="inlineStr">
        <is>
          <t>2026-03-30</t>
        </is>
      </c>
      <c r="K120" s="33" t="n">
        <v>18.28</v>
      </c>
      <c r="L120" s="62" t="n">
        <v>0.4357568533969012</v>
      </c>
      <c r="M120" s="63" t="n">
        <v>0</v>
      </c>
      <c r="N120" s="32" t="inlineStr">
        <is>
          <t>Active</t>
        </is>
      </c>
      <c r="O120" s="32" t="n"/>
      <c r="P120" s="64" t="n">
        <v>4.4</v>
      </c>
      <c r="Q120" s="63" t="n">
        <v>1090</v>
      </c>
      <c r="R120" s="63" t="n">
        <v>64523</v>
      </c>
      <c r="S120" s="63"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59" t="n">
        <v>41.95</v>
      </c>
      <c r="H121" s="32" t="inlineStr">
        <is>
          <t>Helium 10 Xray (Amazon.ca, CAD), 2026-10-14</t>
        </is>
      </c>
      <c r="I121" s="60" t="n">
        <v>50.12</v>
      </c>
      <c r="J121" s="61" t="inlineStr">
        <is>
          <t>2026-03-30</t>
        </is>
      </c>
      <c r="K121" s="33" t="n">
        <v>20.52</v>
      </c>
      <c r="L121" s="62" t="n">
        <v>0.4094173982442138</v>
      </c>
      <c r="M121" s="63" t="n"/>
      <c r="N121" s="32" t="inlineStr">
        <is>
          <t>Active</t>
        </is>
      </c>
      <c r="O121" s="32" t="n"/>
      <c r="P121" s="64" t="n">
        <v>4.4</v>
      </c>
      <c r="Q121" s="63" t="n">
        <v>1090</v>
      </c>
      <c r="R121" s="63" t="n">
        <v>64523</v>
      </c>
      <c r="S121" s="63"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59" t="n">
        <v>51.53</v>
      </c>
      <c r="H122" s="32" t="inlineStr">
        <is>
          <t>Helium 10 Xray (Amazon.ca, CAD), 2026-10-14</t>
        </is>
      </c>
      <c r="I122" s="60" t="n">
        <v>50.19</v>
      </c>
      <c r="J122" s="61" t="inlineStr">
        <is>
          <t>2026-03-30</t>
        </is>
      </c>
      <c r="K122" s="33" t="n">
        <v>19.24</v>
      </c>
      <c r="L122" s="62" t="n">
        <v>0.3833432954771867</v>
      </c>
      <c r="M122" s="63" t="n">
        <v>0</v>
      </c>
      <c r="N122" s="32" t="inlineStr">
        <is>
          <t>Active</t>
        </is>
      </c>
      <c r="O122" s="32" t="n"/>
      <c r="P122" s="64" t="n">
        <v>4.4</v>
      </c>
      <c r="Q122" s="63" t="n">
        <v>1090</v>
      </c>
      <c r="R122" s="63" t="n">
        <v>64523</v>
      </c>
      <c r="S122" s="63"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59" t="n">
        <v>51.53</v>
      </c>
      <c r="H123" s="32" t="inlineStr">
        <is>
          <t>Helium 10 Xray (Amazon.ca, CAD), 2026-10-14</t>
        </is>
      </c>
      <c r="I123" s="60" t="n">
        <v>41.95</v>
      </c>
      <c r="J123" s="61" t="inlineStr">
        <is>
          <t>2026-03-30</t>
        </is>
      </c>
      <c r="K123" s="33" t="n">
        <v>17.72</v>
      </c>
      <c r="L123" s="62" t="n">
        <v>0.4224076281287247</v>
      </c>
      <c r="M123" s="63" t="n"/>
      <c r="N123" s="32" t="inlineStr">
        <is>
          <t>Active</t>
        </is>
      </c>
      <c r="O123" s="32" t="n"/>
      <c r="P123" s="64" t="n">
        <v>4.4</v>
      </c>
      <c r="Q123" s="63" t="n">
        <v>1090</v>
      </c>
      <c r="R123" s="63" t="n">
        <v>64523</v>
      </c>
      <c r="S123" s="63"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0" t="n">
        <v>50.12</v>
      </c>
      <c r="J124" s="61" t="inlineStr">
        <is>
          <t>2026-03-20</t>
        </is>
      </c>
      <c r="K124" s="33" t="n">
        <v>24.18999999999999</v>
      </c>
      <c r="L124" s="62" t="n">
        <v>0.4826416600159615</v>
      </c>
      <c r="M124" s="63" t="n"/>
      <c r="N124" s="32" t="inlineStr">
        <is>
          <t>Active</t>
        </is>
      </c>
      <c r="O124" s="32" t="n"/>
      <c r="P124" s="64" t="n"/>
      <c r="Q124" s="63" t="n"/>
      <c r="R124" s="63" t="n"/>
      <c r="S124" s="63"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59" t="n">
        <v>51.53</v>
      </c>
      <c r="H125" s="32" t="inlineStr">
        <is>
          <t>Helium 10 Xray (Amazon.ca, CAD), 2026-10-14</t>
        </is>
      </c>
      <c r="I125" s="60" t="n">
        <v>50.12</v>
      </c>
      <c r="J125" s="61" t="inlineStr">
        <is>
          <t>2026-03-30</t>
        </is>
      </c>
      <c r="K125" s="33" t="n">
        <v>18.84</v>
      </c>
      <c r="L125" s="62" t="n">
        <v>0.3758978451715881</v>
      </c>
      <c r="M125" s="63" t="n"/>
      <c r="N125" s="32" t="inlineStr">
        <is>
          <t>Active</t>
        </is>
      </c>
      <c r="O125" s="32" t="n"/>
      <c r="P125" s="64" t="n">
        <v>4.4</v>
      </c>
      <c r="Q125" s="63" t="n">
        <v>1090</v>
      </c>
      <c r="R125" s="63" t="n">
        <v>64523</v>
      </c>
      <c r="S125" s="63"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0" t="n">
        <v>50.12</v>
      </c>
      <c r="J126" s="61" t="inlineStr">
        <is>
          <t>2026-03-30</t>
        </is>
      </c>
      <c r="K126" s="33" t="n">
        <v>18.84</v>
      </c>
      <c r="L126" s="62" t="n">
        <v>0.3758978451715881</v>
      </c>
      <c r="M126" s="63" t="n"/>
      <c r="N126" s="32" t="inlineStr">
        <is>
          <t>Inactive</t>
        </is>
      </c>
      <c r="O126" s="32" t="n"/>
      <c r="P126" s="64" t="n"/>
      <c r="Q126" s="63" t="n"/>
      <c r="R126" s="63" t="n"/>
      <c r="S126" s="63"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59" t="n">
        <v>51.53</v>
      </c>
      <c r="H127" s="32" t="inlineStr">
        <is>
          <t>Helium 10 Xray (Amazon.ca, CAD), 2026-10-14</t>
        </is>
      </c>
      <c r="I127" s="60" t="n">
        <v>50.12</v>
      </c>
      <c r="J127" s="61" t="inlineStr">
        <is>
          <t>2026-03-30</t>
        </is>
      </c>
      <c r="K127" s="33" t="n">
        <v>18.84</v>
      </c>
      <c r="L127" s="62" t="n">
        <v>0.3758978451715881</v>
      </c>
      <c r="M127" s="63" t="n">
        <v>0</v>
      </c>
      <c r="N127" s="32" t="inlineStr">
        <is>
          <t>Active</t>
        </is>
      </c>
      <c r="O127" s="32" t="n"/>
      <c r="P127" s="64" t="n">
        <v>4.4</v>
      </c>
      <c r="Q127" s="63" t="n">
        <v>1090</v>
      </c>
      <c r="R127" s="63" t="n">
        <v>64523</v>
      </c>
      <c r="S127" s="63"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59" t="n">
        <v>51.53</v>
      </c>
      <c r="H128" s="32" t="inlineStr">
        <is>
          <t>Helium 10 Xray (Amazon.ca, CAD), 2026-10-14</t>
        </is>
      </c>
      <c r="I128" s="60" t="n">
        <v>50.68</v>
      </c>
      <c r="J128" s="61" t="inlineStr">
        <is>
          <t>2026-03-30</t>
        </is>
      </c>
      <c r="K128" s="33" t="n">
        <v>18.72</v>
      </c>
      <c r="L128" s="62" t="n">
        <v>0.3693764798737174</v>
      </c>
      <c r="M128" s="63" t="n"/>
      <c r="N128" s="32" t="inlineStr">
        <is>
          <t>Active</t>
        </is>
      </c>
      <c r="O128" s="32" t="n"/>
      <c r="P128" s="64" t="n">
        <v>4.4</v>
      </c>
      <c r="Q128" s="63" t="n">
        <v>1090</v>
      </c>
      <c r="R128" s="63" t="n">
        <v>64523</v>
      </c>
      <c r="S128" s="63"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59" t="n">
        <v>51.53</v>
      </c>
      <c r="H129" s="32" t="inlineStr">
        <is>
          <t>Helium 10 Xray (Amazon.ca, CAD), 2026-10-14</t>
        </is>
      </c>
      <c r="I129" s="60" t="n">
        <v>50.12</v>
      </c>
      <c r="J129" s="61" t="inlineStr">
        <is>
          <t>2026-03-30</t>
        </is>
      </c>
      <c r="K129" s="33" t="n">
        <v>18.84</v>
      </c>
      <c r="L129" s="62" t="n">
        <v>0.3758978451715881</v>
      </c>
      <c r="M129" s="63" t="n">
        <v>0</v>
      </c>
      <c r="N129" s="32" t="inlineStr">
        <is>
          <t>Active</t>
        </is>
      </c>
      <c r="O129" s="32" t="n"/>
      <c r="P129" s="64" t="n">
        <v>4.4</v>
      </c>
      <c r="Q129" s="63" t="n">
        <v>1090</v>
      </c>
      <c r="R129" s="63" t="n">
        <v>64523</v>
      </c>
      <c r="S129" s="63"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59" t="n">
        <v>51.53</v>
      </c>
      <c r="H130" s="32" t="inlineStr">
        <is>
          <t>Helium 10 Xray (Amazon.ca, CAD), 2026-10-14</t>
        </is>
      </c>
      <c r="I130" s="60" t="n">
        <v>50.12</v>
      </c>
      <c r="J130" s="61" t="inlineStr">
        <is>
          <t>2026-03-30</t>
        </is>
      </c>
      <c r="K130" s="33" t="n">
        <v>18.84</v>
      </c>
      <c r="L130" s="62" t="n">
        <v>0.3758978451715881</v>
      </c>
      <c r="M130" s="63" t="n"/>
      <c r="N130" s="32" t="inlineStr">
        <is>
          <t>Active</t>
        </is>
      </c>
      <c r="O130" s="32" t="n"/>
      <c r="P130" s="64" t="n">
        <v>4.4</v>
      </c>
      <c r="Q130" s="63" t="n">
        <v>1090</v>
      </c>
      <c r="R130" s="63" t="n">
        <v>64523</v>
      </c>
      <c r="S130" s="63"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59" t="n">
        <v>51.53</v>
      </c>
      <c r="H131" s="32" t="inlineStr">
        <is>
          <t>Helium 10 Xray (Amazon.ca, CAD), 2026-10-14</t>
        </is>
      </c>
      <c r="I131" s="60" t="n">
        <v>50.12</v>
      </c>
      <c r="J131" s="61" t="inlineStr">
        <is>
          <t>2026-03-30</t>
        </is>
      </c>
      <c r="K131" s="33" t="n">
        <v>18.84</v>
      </c>
      <c r="L131" s="62" t="n">
        <v>0.3758978451715881</v>
      </c>
      <c r="M131" s="63" t="n">
        <v>0</v>
      </c>
      <c r="N131" s="32" t="inlineStr">
        <is>
          <t>Active</t>
        </is>
      </c>
      <c r="O131" s="32" t="n"/>
      <c r="P131" s="64" t="n">
        <v>4.4</v>
      </c>
      <c r="Q131" s="63" t="n">
        <v>1090</v>
      </c>
      <c r="R131" s="63" t="n">
        <v>64523</v>
      </c>
      <c r="S131" s="63"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59" t="n">
        <v>51.53</v>
      </c>
      <c r="H132" s="32" t="inlineStr">
        <is>
          <t>Helium 10 Xray (Amazon.ca, CAD), 2026-10-14</t>
        </is>
      </c>
      <c r="I132" s="60" t="n">
        <v>50.12</v>
      </c>
      <c r="J132" s="61" t="inlineStr">
        <is>
          <t>2026-03-30</t>
        </is>
      </c>
      <c r="K132" s="33" t="n">
        <v>20.41999999999999</v>
      </c>
      <c r="L132" s="62" t="n">
        <v>0.4074221867517956</v>
      </c>
      <c r="M132" s="63" t="n"/>
      <c r="N132" s="32" t="inlineStr">
        <is>
          <t>Active</t>
        </is>
      </c>
      <c r="O132" s="32" t="n"/>
      <c r="P132" s="64" t="n">
        <v>4.4</v>
      </c>
      <c r="Q132" s="63" t="n">
        <v>1090</v>
      </c>
      <c r="R132" s="63" t="n">
        <v>64523</v>
      </c>
      <c r="S132" s="63"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59" t="n">
        <v>41.95</v>
      </c>
      <c r="H133" s="32" t="inlineStr">
        <is>
          <t>Helium 10 Xray (Amazon.ca, CAD), 2026-10-14</t>
        </is>
      </c>
      <c r="I133" s="60" t="n">
        <v>41.95</v>
      </c>
      <c r="J133" s="61" t="inlineStr">
        <is>
          <t>2026-03-30</t>
        </is>
      </c>
      <c r="K133" s="33" t="n">
        <v>18.53</v>
      </c>
      <c r="L133" s="62" t="n">
        <v>0.4417163289630514</v>
      </c>
      <c r="M133" s="63" t="n">
        <v>0</v>
      </c>
      <c r="N133" s="32" t="inlineStr">
        <is>
          <t>Active</t>
        </is>
      </c>
      <c r="O133" s="32" t="n"/>
      <c r="P133" s="64" t="n">
        <v>4.4</v>
      </c>
      <c r="Q133" s="63" t="n">
        <v>1090</v>
      </c>
      <c r="R133" s="63" t="n">
        <v>64523</v>
      </c>
      <c r="S133" s="63" t="n">
        <v>2</v>
      </c>
      <c r="T133" s="32" t="n"/>
    </row>
    <row r="135" ht="20" customHeight="1">
      <c r="A135" s="53" t="inlineStr">
        <is>
          <t>3 · OUR BFCM 2025 RESULT &amp; EVENT VISIBILITY</t>
        </is>
      </c>
    </row>
    <row r="136">
      <c r="A136" s="66" t="inlineStr">
        <is>
          <t>Window</t>
        </is>
      </c>
      <c r="B136" s="67" t="n"/>
      <c r="C136" s="68" t="n"/>
      <c r="D136" s="66" t="inlineStr">
        <is>
          <t>Ad spend</t>
        </is>
      </c>
      <c r="E136" s="66" t="inlineStr">
        <is>
          <t>Ad sales</t>
        </is>
      </c>
      <c r="F136" s="66" t="inlineStr">
        <is>
          <t>ACoS</t>
        </is>
      </c>
      <c r="G136" s="66" t="inlineStr">
        <is>
          <t>TACoS</t>
        </is>
      </c>
      <c r="H136" s="66" t="inlineStr">
        <is>
          <t>Total sales (derived)</t>
        </is>
      </c>
      <c r="J136" s="66" t="inlineStr">
        <is>
          <t>Ad orders</t>
        </is>
      </c>
      <c r="K136" s="66" t="inlineStr">
        <is>
          <t>CVR</t>
        </is>
      </c>
    </row>
    <row r="137">
      <c r="A137" s="69" t="inlineStr">
        <is>
          <t>Pre-event Oct 21 - Nov 19, 2025 (30d)</t>
        </is>
      </c>
      <c r="B137" s="67" t="n"/>
      <c r="C137" s="68" t="n"/>
      <c r="D137" s="70" t="n">
        <v>0</v>
      </c>
      <c r="E137" s="70" t="n">
        <v>0</v>
      </c>
      <c r="F137" s="71" t="n"/>
      <c r="G137" s="71" t="n">
        <v>0</v>
      </c>
      <c r="H137" s="70" t="n"/>
      <c r="J137" s="72" t="n">
        <v>0</v>
      </c>
      <c r="K137" s="73" t="n"/>
    </row>
    <row r="138">
      <c r="A138" s="69" t="inlineStr">
        <is>
          <t>BFCM week Nov 20 - Dec 1, 2025 (12d)</t>
        </is>
      </c>
      <c r="B138" s="67" t="n"/>
      <c r="C138" s="68" t="n"/>
      <c r="D138" s="70" t="n">
        <v>0</v>
      </c>
      <c r="E138" s="70" t="n">
        <v>0</v>
      </c>
      <c r="F138" s="71" t="n"/>
      <c r="G138" s="71" t="n">
        <v>0</v>
      </c>
      <c r="H138" s="70" t="n"/>
      <c r="J138" s="72" t="n">
        <v>0</v>
      </c>
      <c r="K138" s="73" t="n"/>
    </row>
    <row r="139">
      <c r="A139" s="69" t="inlineStr">
        <is>
          <t>December 2 - 31, 2025 (30d)</t>
        </is>
      </c>
      <c r="B139" s="67" t="n"/>
      <c r="C139" s="68" t="n"/>
      <c r="D139" s="70" t="n">
        <v>0</v>
      </c>
      <c r="E139" s="70" t="n">
        <v>0</v>
      </c>
      <c r="F139" s="71" t="n"/>
      <c r="G139" s="71" t="n">
        <v>0</v>
      </c>
      <c r="H139" s="70" t="n"/>
      <c r="J139" s="72" t="n">
        <v>0</v>
      </c>
      <c r="K139" s="73" t="n"/>
    </row>
    <row r="141">
      <c r="A141" s="66" t="inlineStr">
        <is>
          <t>Actual sales (SellerBoard)</t>
        </is>
      </c>
      <c r="B141" s="67" t="n"/>
      <c r="C141" s="68" t="n"/>
      <c r="D141" s="66" t="inlineStr">
        <is>
          <t>Sales</t>
        </is>
      </c>
      <c r="E141" s="66" t="inlineStr">
        <is>
          <t>Units</t>
        </is>
      </c>
      <c r="F141" s="66" t="inlineStr">
        <is>
          <t>Organic units</t>
        </is>
      </c>
      <c r="G141" s="66" t="inlineStr">
        <is>
          <t>Ad units</t>
        </is>
      </c>
      <c r="H141" s="66" t="inlineStr">
        <is>
          <t>Ad cost</t>
        </is>
      </c>
      <c r="J141" s="66" t="inlineStr">
        <is>
          <t>TACoS (actual)</t>
        </is>
      </c>
      <c r="K141" s="66" t="inlineStr">
        <is>
          <t>Sessions</t>
        </is>
      </c>
      <c r="L141" s="66" t="inlineStr">
        <is>
          <t>Unit session %</t>
        </is>
      </c>
      <c r="M141" s="66" t="inlineStr">
        <is>
          <t>Avg price</t>
        </is>
      </c>
      <c r="N141" s="66" t="inlineStr">
        <is>
          <t>Refunds</t>
        </is>
      </c>
    </row>
    <row r="142">
      <c r="A142" s="69" t="inlineStr">
        <is>
          <t>Pre-event Oct 21 - Nov 19, 2025 (30d)</t>
        </is>
      </c>
      <c r="B142" s="67" t="n"/>
      <c r="C142" s="68" t="n"/>
      <c r="D142" s="70" t="n">
        <v>165.99</v>
      </c>
      <c r="E142" s="72" t="n">
        <v>5</v>
      </c>
      <c r="F142" s="72" t="n">
        <v>5</v>
      </c>
      <c r="G142" s="72" t="n">
        <v>0</v>
      </c>
      <c r="H142" s="70" t="n">
        <v>0</v>
      </c>
      <c r="J142" s="74" t="n">
        <v>0</v>
      </c>
      <c r="K142" s="72" t="n">
        <v>127</v>
      </c>
      <c r="L142" s="74" t="n">
        <v>0.03937007874015748</v>
      </c>
      <c r="M142" s="75" t="n">
        <v>33.198</v>
      </c>
      <c r="N142" s="72" t="n">
        <v>0</v>
      </c>
    </row>
    <row r="143">
      <c r="A143" s="69" t="inlineStr">
        <is>
          <t>BFCM week Nov 20 - Dec 1, 2025 (12d)</t>
        </is>
      </c>
      <c r="B143" s="67" t="n"/>
      <c r="C143" s="68" t="n"/>
      <c r="D143" s="70" t="n">
        <v>100.59</v>
      </c>
      <c r="E143" s="72" t="n">
        <v>3</v>
      </c>
      <c r="F143" s="72" t="n">
        <v>3</v>
      </c>
      <c r="G143" s="72" t="n">
        <v>0</v>
      </c>
      <c r="H143" s="70" t="n">
        <v>0</v>
      </c>
      <c r="J143" s="74" t="n">
        <v>0</v>
      </c>
      <c r="K143" s="72" t="n">
        <v>83</v>
      </c>
      <c r="L143" s="74" t="n">
        <v>0.03614457831325301</v>
      </c>
      <c r="M143" s="75" t="n">
        <v>33.53</v>
      </c>
      <c r="N143" s="72" t="n">
        <v>1</v>
      </c>
    </row>
    <row r="144">
      <c r="A144" s="69" t="inlineStr">
        <is>
          <t>December 2 - 31, 2025 (30d)</t>
        </is>
      </c>
      <c r="B144" s="67" t="n"/>
      <c r="C144" s="68" t="n"/>
      <c r="D144" s="70" t="n">
        <v>617.92</v>
      </c>
      <c r="E144" s="72" t="n">
        <v>18</v>
      </c>
      <c r="F144" s="72" t="n">
        <v>18</v>
      </c>
      <c r="G144" s="72" t="n">
        <v>0</v>
      </c>
      <c r="H144" s="70" t="n">
        <v>0</v>
      </c>
      <c r="J144" s="74" t="n">
        <v>0</v>
      </c>
      <c r="K144" s="72" t="n">
        <v>250</v>
      </c>
      <c r="L144" s="74" t="n">
        <v>0.07199999999999999</v>
      </c>
      <c r="M144" s="75" t="n">
        <v>34.32888888888888</v>
      </c>
      <c r="N144" s="72" t="n">
        <v>1</v>
      </c>
    </row>
    <row r="145">
      <c r="A145" s="58"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6" t="inlineStr">
        <is>
          <t>Deals Nov 1 - Dec 5, 2025: no record returned by the DataHub promotions feed. Unknown, not proof that no deal ran.</t>
        </is>
      </c>
    </row>
    <row r="147" ht="18" customHeight="1">
      <c r="A147" s="77" t="inlineStr">
        <is>
          <t>BFCM 2026 plan (BM, Oct 15, 2026): Best Deal 11/19-11/30. Deal price and depth not yet given; not yet visible in Amazon's deal feed.</t>
        </is>
      </c>
    </row>
    <row r="148" ht="18" customHeight="1">
      <c r="A148" s="79" t="inlineStr">
        <is>
          <t>ASSUMED 2026 deal prices, until BM's final: B0DDR1ZPRZ today C$49.95; C$42.46 at 15% off (Nov 19-26) and C$39.96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49" ht="40" customHeight="1">
      <c r="A149" s="76"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8" t="inlineStr">
        <is>
          <t>Figures above are Amazon.ca in CAD. Visibility history is held for US ASINs only.</t>
        </is>
      </c>
    </row>
    <row r="152" ht="20" customHeight="1">
      <c r="A152" s="53" t="inlineStr">
        <is>
          <t>4 · COMPETITOR LANDSCAPE (15 mapped)</t>
        </is>
      </c>
    </row>
    <row r="153">
      <c r="A153" s="58" t="inlineStr">
        <is>
          <t>Sorted by tier, then estimated weekly units. Green = Command Center price/sales; blue = Data Dive listing; purple = Command Center search strategy (ASINsight); yellow = fill from Keepa / page check.</t>
        </is>
      </c>
    </row>
    <row r="154" ht="30" customHeight="1">
      <c r="A154" s="76"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3"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Satin Sheets 6pcs  ·  Amazon.com (US)  ·  Satin  ·  BFCM role: Clearance with margin  ·  Scope: Not launched</t>
        </is>
      </c>
    </row>
    <row r="2">
      <c r="A2" s="52" t="inlineStr">
        <is>
          <t>← Dashboard</t>
        </is>
      </c>
      <c r="C2" s="109" t="inlineStr">
        <is>
          <t>NOT LAUNCHED YET (confirmed Oct 14, 2026): no live price, rating or sales expected; excluded from the gap counts on Data Check.</t>
        </is>
      </c>
    </row>
    <row r="3" ht="20" customHeight="1">
      <c r="A3" s="53"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4" t="inlineStr">
        <is>
          <t>Full, King, Queen, Twin</t>
        </is>
      </c>
      <c r="S4" s="11" t="inlineStr">
        <is>
          <t>Break-even ACoS</t>
        </is>
      </c>
      <c r="T4" s="54" t="inlineStr">
        <is>
          <t>n/a</t>
        </is>
      </c>
    </row>
    <row r="5" ht="22" customHeight="1">
      <c r="C5" s="11" t="inlineStr">
        <is>
          <t>Brand</t>
        </is>
      </c>
      <c r="D5" s="54" t="inlineStr">
        <is>
          <t>Sleephoria</t>
        </is>
      </c>
      <c r="K5" s="11" t="inlineStr">
        <is>
          <t>Colours</t>
        </is>
      </c>
      <c r="L5" s="54"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4" t="inlineStr">
        <is>
          <t>0</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B0H41WN38B (one of our child ASINs, not the Amazon parent)</t>
        </is>
      </c>
    </row>
    <row r="7" ht="22" customHeight="1">
      <c r="C7" s="11" t="inlineStr">
        <is>
          <t>Parent ASIN (Amazon)</t>
        </is>
      </c>
      <c r="D7" s="54" t="inlineStr">
        <is>
          <t>B0H41WN38B</t>
        </is>
      </c>
      <c r="K7" s="11" t="inlineStr">
        <is>
          <t>Rating / reviews now</t>
        </is>
      </c>
      <c r="L7" s="54" t="inlineStr">
        <is>
          <t>Not checked yet</t>
        </is>
      </c>
    </row>
    <row r="8" ht="22" customHeight="1">
      <c r="C8" s="11" t="inlineStr">
        <is>
          <t>Best-selling child ASIN</t>
        </is>
      </c>
      <c r="D8" s="54" t="n"/>
      <c r="K8" s="11" t="inlineStr">
        <is>
          <t>Live prices held</t>
        </is>
      </c>
      <c r="L8" s="54" t="inlineStr">
        <is>
          <t>0 of 116 variations</t>
        </is>
      </c>
    </row>
    <row r="9" ht="22" customHeight="1">
      <c r="C9" s="11" t="inlineStr">
        <is>
          <t>Stage</t>
        </is>
      </c>
      <c r="D9" s="54" t="inlineStr">
        <is>
          <t>Production</t>
        </is>
      </c>
      <c r="K9" s="11" t="inlineStr">
        <is>
          <t>Blended price (Command Center)</t>
        </is>
      </c>
      <c r="L9" s="54" t="n"/>
    </row>
    <row r="10">
      <c r="C10" s="11" t="inlineStr">
        <is>
          <t>Total variations (SKUs)</t>
        </is>
      </c>
      <c r="D10" s="54" t="n">
        <v>116</v>
      </c>
      <c r="K10" s="11" t="inlineStr">
        <is>
          <t>Contribution / unit</t>
        </is>
      </c>
      <c r="L10" s="54" t="inlineStr">
        <is>
          <t>n/a</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27</t>
        </is>
      </c>
      <c r="Q12" s="56" t="inlineStr">
        <is>
          <t>0</t>
        </is>
      </c>
      <c r="U12" s="56" t="inlineStr">
        <is>
          <t>1</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(116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2" t="n"/>
      <c r="M18" s="63" t="n"/>
      <c r="N18" s="32" t="inlineStr">
        <is>
          <t>Inactive</t>
        </is>
      </c>
      <c r="O18" s="32" t="n"/>
      <c r="P18" s="64" t="n"/>
      <c r="Q18" s="63" t="n"/>
      <c r="R18" s="63" t="n"/>
      <c r="S18" s="63"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2" t="n"/>
      <c r="M19" s="63" t="n"/>
      <c r="N19" s="32" t="inlineStr">
        <is>
          <t>Inactive</t>
        </is>
      </c>
      <c r="O19" s="32" t="n"/>
      <c r="P19" s="64" t="n"/>
      <c r="Q19" s="63" t="n"/>
      <c r="R19" s="63" t="n"/>
      <c r="S19" s="63"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2" t="n"/>
      <c r="M20" s="63" t="n"/>
      <c r="N20" s="32" t="inlineStr">
        <is>
          <t>Inactive</t>
        </is>
      </c>
      <c r="O20" s="32" t="n"/>
      <c r="P20" s="64" t="n"/>
      <c r="Q20" s="63" t="n"/>
      <c r="R20" s="63" t="n"/>
      <c r="S20" s="63"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2" t="n"/>
      <c r="M21" s="63" t="n"/>
      <c r="N21" s="32" t="inlineStr">
        <is>
          <t>Inactive</t>
        </is>
      </c>
      <c r="O21" s="32" t="n"/>
      <c r="P21" s="64" t="n"/>
      <c r="Q21" s="63" t="n"/>
      <c r="R21" s="63" t="n"/>
      <c r="S21" s="63"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2" t="n"/>
      <c r="M22" s="63" t="n"/>
      <c r="N22" s="32" t="inlineStr">
        <is>
          <t>Inactive</t>
        </is>
      </c>
      <c r="O22" s="32" t="n"/>
      <c r="P22" s="64" t="n"/>
      <c r="Q22" s="63" t="n"/>
      <c r="R22" s="63" t="n"/>
      <c r="S22" s="63"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2" t="n"/>
      <c r="M23" s="63" t="n"/>
      <c r="N23" s="32" t="inlineStr">
        <is>
          <t>Inactive</t>
        </is>
      </c>
      <c r="O23" s="32" t="n"/>
      <c r="P23" s="64" t="n"/>
      <c r="Q23" s="63" t="n"/>
      <c r="R23" s="63" t="n"/>
      <c r="S23" s="63"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2" t="n"/>
      <c r="M24" s="63" t="n"/>
      <c r="N24" s="32" t="inlineStr">
        <is>
          <t>Inactive</t>
        </is>
      </c>
      <c r="O24" s="32" t="n"/>
      <c r="P24" s="64" t="n"/>
      <c r="Q24" s="63" t="n"/>
      <c r="R24" s="63" t="n"/>
      <c r="S24" s="63"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2" t="n"/>
      <c r="M25" s="63" t="n"/>
      <c r="N25" s="32" t="inlineStr">
        <is>
          <t>Inactive</t>
        </is>
      </c>
      <c r="O25" s="32" t="n"/>
      <c r="P25" s="64" t="n"/>
      <c r="Q25" s="63" t="n"/>
      <c r="R25" s="63" t="n"/>
      <c r="S25" s="63"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2" t="n"/>
      <c r="M26" s="63" t="n"/>
      <c r="N26" s="32" t="inlineStr">
        <is>
          <t>Inactive</t>
        </is>
      </c>
      <c r="O26" s="32" t="n"/>
      <c r="P26" s="64" t="n"/>
      <c r="Q26" s="63" t="n"/>
      <c r="R26" s="63" t="n"/>
      <c r="S26" s="63"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2" t="n"/>
      <c r="M27" s="63" t="n"/>
      <c r="N27" s="32" t="inlineStr">
        <is>
          <t>Inactive</t>
        </is>
      </c>
      <c r="O27" s="32" t="n"/>
      <c r="P27" s="64" t="n"/>
      <c r="Q27" s="63" t="n"/>
      <c r="R27" s="63" t="n"/>
      <c r="S27" s="63"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2" t="n"/>
      <c r="M28" s="63" t="n"/>
      <c r="N28" s="32" t="inlineStr">
        <is>
          <t>Inactive</t>
        </is>
      </c>
      <c r="O28" s="32" t="n"/>
      <c r="P28" s="64" t="n"/>
      <c r="Q28" s="63" t="n"/>
      <c r="R28" s="63" t="n"/>
      <c r="S28" s="63"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2" t="n"/>
      <c r="M29" s="63" t="n"/>
      <c r="N29" s="32" t="inlineStr">
        <is>
          <t>Inactive</t>
        </is>
      </c>
      <c r="O29" s="32" t="n"/>
      <c r="P29" s="64" t="n"/>
      <c r="Q29" s="63" t="n"/>
      <c r="R29" s="63" t="n"/>
      <c r="S29" s="63"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2" t="n"/>
      <c r="M30" s="63" t="n"/>
      <c r="N30" s="32" t="inlineStr">
        <is>
          <t>Inactive</t>
        </is>
      </c>
      <c r="O30" s="32" t="n"/>
      <c r="P30" s="64" t="n"/>
      <c r="Q30" s="63" t="n"/>
      <c r="R30" s="63" t="n"/>
      <c r="S30" s="63"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2" t="n"/>
      <c r="M31" s="63" t="n"/>
      <c r="N31" s="32" t="inlineStr">
        <is>
          <t>Inactive</t>
        </is>
      </c>
      <c r="O31" s="32" t="n"/>
      <c r="P31" s="64" t="n"/>
      <c r="Q31" s="63" t="n"/>
      <c r="R31" s="63" t="n"/>
      <c r="S31" s="63"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2" t="n"/>
      <c r="M32" s="63" t="n"/>
      <c r="N32" s="32" t="inlineStr">
        <is>
          <t>Inactive</t>
        </is>
      </c>
      <c r="O32" s="32" t="n"/>
      <c r="P32" s="64" t="n"/>
      <c r="Q32" s="63" t="n"/>
      <c r="R32" s="63" t="n"/>
      <c r="S32" s="63"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2" t="n"/>
      <c r="M33" s="63" t="n"/>
      <c r="N33" s="32" t="inlineStr">
        <is>
          <t>Inactive</t>
        </is>
      </c>
      <c r="O33" s="32" t="n"/>
      <c r="P33" s="64" t="n"/>
      <c r="Q33" s="63" t="n"/>
      <c r="R33" s="63" t="n"/>
      <c r="S33" s="63"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2" t="n"/>
      <c r="M34" s="63" t="n"/>
      <c r="N34" s="32" t="inlineStr">
        <is>
          <t>Inactive</t>
        </is>
      </c>
      <c r="O34" s="32" t="n"/>
      <c r="P34" s="64" t="n"/>
      <c r="Q34" s="63" t="n"/>
      <c r="R34" s="63" t="n"/>
      <c r="S34" s="63"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2" t="n"/>
      <c r="M35" s="63" t="n"/>
      <c r="N35" s="32" t="inlineStr">
        <is>
          <t>Inactive</t>
        </is>
      </c>
      <c r="O35" s="32" t="n"/>
      <c r="P35" s="64" t="n"/>
      <c r="Q35" s="63" t="n"/>
      <c r="R35" s="63" t="n"/>
      <c r="S35" s="63"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2" t="n"/>
      <c r="M36" s="63" t="n"/>
      <c r="N36" s="32" t="inlineStr">
        <is>
          <t>Inactive</t>
        </is>
      </c>
      <c r="O36" s="32" t="n"/>
      <c r="P36" s="64" t="n"/>
      <c r="Q36" s="63" t="n"/>
      <c r="R36" s="63" t="n"/>
      <c r="S36" s="63"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2" t="n"/>
      <c r="M37" s="63" t="n"/>
      <c r="N37" s="32" t="inlineStr">
        <is>
          <t>Inactive</t>
        </is>
      </c>
      <c r="O37" s="32" t="n"/>
      <c r="P37" s="64" t="n"/>
      <c r="Q37" s="63" t="n"/>
      <c r="R37" s="63" t="n"/>
      <c r="S37" s="63"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2" t="n"/>
      <c r="M38" s="63" t="n"/>
      <c r="N38" s="32" t="inlineStr">
        <is>
          <t>Inactive</t>
        </is>
      </c>
      <c r="O38" s="32" t="n"/>
      <c r="P38" s="64" t="n"/>
      <c r="Q38" s="63" t="n"/>
      <c r="R38" s="63" t="n"/>
      <c r="S38" s="63"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2" t="n"/>
      <c r="M39" s="63" t="n"/>
      <c r="N39" s="32" t="inlineStr">
        <is>
          <t>Inactive</t>
        </is>
      </c>
      <c r="O39" s="32" t="n"/>
      <c r="P39" s="64" t="n"/>
      <c r="Q39" s="63" t="n"/>
      <c r="R39" s="63" t="n"/>
      <c r="S39" s="63"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2" t="n"/>
      <c r="M40" s="63" t="n"/>
      <c r="N40" s="32" t="inlineStr">
        <is>
          <t>Inactive</t>
        </is>
      </c>
      <c r="O40" s="32" t="n"/>
      <c r="P40" s="64" t="n"/>
      <c r="Q40" s="63" t="n"/>
      <c r="R40" s="63" t="n"/>
      <c r="S40" s="63"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2" t="n"/>
      <c r="M41" s="63" t="n"/>
      <c r="N41" s="32" t="inlineStr">
        <is>
          <t>Inactive</t>
        </is>
      </c>
      <c r="O41" s="32" t="n"/>
      <c r="P41" s="64" t="n"/>
      <c r="Q41" s="63" t="n"/>
      <c r="R41" s="63" t="n"/>
      <c r="S41" s="63"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2" t="n"/>
      <c r="M42" s="63" t="n"/>
      <c r="N42" s="32" t="inlineStr">
        <is>
          <t>Inactive</t>
        </is>
      </c>
      <c r="O42" s="32" t="n"/>
      <c r="P42" s="64" t="n"/>
      <c r="Q42" s="63" t="n"/>
      <c r="R42" s="63" t="n"/>
      <c r="S42" s="63"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2" t="n"/>
      <c r="M43" s="63" t="n"/>
      <c r="N43" s="32" t="inlineStr">
        <is>
          <t>Inactive</t>
        </is>
      </c>
      <c r="O43" s="32" t="n"/>
      <c r="P43" s="64" t="n"/>
      <c r="Q43" s="63" t="n"/>
      <c r="R43" s="63" t="n"/>
      <c r="S43" s="63"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2" t="n"/>
      <c r="M44" s="63" t="n"/>
      <c r="N44" s="32" t="inlineStr">
        <is>
          <t>Inactive</t>
        </is>
      </c>
      <c r="O44" s="32" t="n"/>
      <c r="P44" s="64" t="n"/>
      <c r="Q44" s="63" t="n"/>
      <c r="R44" s="63" t="n"/>
      <c r="S44" s="63"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2" t="n"/>
      <c r="M45" s="63" t="n"/>
      <c r="N45" s="32" t="inlineStr">
        <is>
          <t>Inactive</t>
        </is>
      </c>
      <c r="O45" s="32" t="n"/>
      <c r="P45" s="64" t="n"/>
      <c r="Q45" s="63" t="n"/>
      <c r="R45" s="63" t="n"/>
      <c r="S45" s="63"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2" t="n"/>
      <c r="M46" s="63" t="n"/>
      <c r="N46" s="32" t="inlineStr">
        <is>
          <t>Inactive</t>
        </is>
      </c>
      <c r="O46" s="32" t="n"/>
      <c r="P46" s="64" t="n"/>
      <c r="Q46" s="63" t="n"/>
      <c r="R46" s="63" t="n"/>
      <c r="S46" s="63"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2" t="n"/>
      <c r="M47" s="63" t="n"/>
      <c r="N47" s="32" t="inlineStr">
        <is>
          <t>Inactive</t>
        </is>
      </c>
      <c r="O47" s="32" t="n"/>
      <c r="P47" s="64" t="n"/>
      <c r="Q47" s="63" t="n"/>
      <c r="R47" s="63" t="n"/>
      <c r="S47" s="63"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2" t="n"/>
      <c r="M48" s="63" t="n"/>
      <c r="N48" s="32" t="inlineStr">
        <is>
          <t>Inactive</t>
        </is>
      </c>
      <c r="O48" s="32" t="n"/>
      <c r="P48" s="64" t="n"/>
      <c r="Q48" s="63" t="n"/>
      <c r="R48" s="63" t="n"/>
      <c r="S48" s="63"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2" t="n"/>
      <c r="M49" s="63" t="n"/>
      <c r="N49" s="32" t="inlineStr">
        <is>
          <t>Inactive</t>
        </is>
      </c>
      <c r="O49" s="32" t="n"/>
      <c r="P49" s="64" t="n"/>
      <c r="Q49" s="63" t="n"/>
      <c r="R49" s="63" t="n"/>
      <c r="S49" s="63"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2" t="n"/>
      <c r="M50" s="63" t="n"/>
      <c r="N50" s="32" t="inlineStr">
        <is>
          <t>Inactive</t>
        </is>
      </c>
      <c r="O50" s="32" t="n"/>
      <c r="P50" s="64" t="n"/>
      <c r="Q50" s="63" t="n"/>
      <c r="R50" s="63" t="n"/>
      <c r="S50" s="63"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2" t="n"/>
      <c r="M51" s="63" t="n"/>
      <c r="N51" s="32" t="inlineStr">
        <is>
          <t>Inactive</t>
        </is>
      </c>
      <c r="O51" s="32" t="n"/>
      <c r="P51" s="64" t="n"/>
      <c r="Q51" s="63" t="n"/>
      <c r="R51" s="63" t="n"/>
      <c r="S51" s="63"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2" t="n"/>
      <c r="M52" s="63" t="n"/>
      <c r="N52" s="32" t="inlineStr">
        <is>
          <t>Inactive</t>
        </is>
      </c>
      <c r="O52" s="32" t="n"/>
      <c r="P52" s="64" t="n"/>
      <c r="Q52" s="63" t="n"/>
      <c r="R52" s="63" t="n"/>
      <c r="S52" s="63"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2" t="n"/>
      <c r="M53" s="63" t="n"/>
      <c r="N53" s="32" t="inlineStr">
        <is>
          <t>Inactive</t>
        </is>
      </c>
      <c r="O53" s="32" t="n"/>
      <c r="P53" s="64" t="n"/>
      <c r="Q53" s="63" t="n"/>
      <c r="R53" s="63" t="n"/>
      <c r="S53" s="63"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2" t="n"/>
      <c r="M54" s="63" t="n"/>
      <c r="N54" s="32" t="inlineStr">
        <is>
          <t>Inactive</t>
        </is>
      </c>
      <c r="O54" s="32" t="n"/>
      <c r="P54" s="64" t="n"/>
      <c r="Q54" s="63" t="n"/>
      <c r="R54" s="63" t="n"/>
      <c r="S54" s="63"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2" t="n"/>
      <c r="M55" s="63" t="n"/>
      <c r="N55" s="32" t="inlineStr">
        <is>
          <t>Inactive</t>
        </is>
      </c>
      <c r="O55" s="32" t="n"/>
      <c r="P55" s="64" t="n"/>
      <c r="Q55" s="63" t="n"/>
      <c r="R55" s="63" t="n"/>
      <c r="S55" s="63"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2" t="n"/>
      <c r="M56" s="63" t="n"/>
      <c r="N56" s="32" t="inlineStr">
        <is>
          <t>Inactive</t>
        </is>
      </c>
      <c r="O56" s="32" t="n"/>
      <c r="P56" s="64" t="n"/>
      <c r="Q56" s="63" t="n"/>
      <c r="R56" s="63" t="n"/>
      <c r="S56" s="63"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2" t="n"/>
      <c r="M57" s="63" t="n"/>
      <c r="N57" s="32" t="inlineStr">
        <is>
          <t>Inactive</t>
        </is>
      </c>
      <c r="O57" s="32" t="n"/>
      <c r="P57" s="64" t="n"/>
      <c r="Q57" s="63" t="n"/>
      <c r="R57" s="63" t="n"/>
      <c r="S57" s="63"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2" t="n"/>
      <c r="M58" s="63" t="n"/>
      <c r="N58" s="32" t="inlineStr">
        <is>
          <t>Inactive</t>
        </is>
      </c>
      <c r="O58" s="32" t="n"/>
      <c r="P58" s="64" t="n"/>
      <c r="Q58" s="63" t="n"/>
      <c r="R58" s="63" t="n"/>
      <c r="S58" s="63"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2" t="n"/>
      <c r="M59" s="63" t="n"/>
      <c r="N59" s="32" t="inlineStr">
        <is>
          <t>Inactive</t>
        </is>
      </c>
      <c r="O59" s="32" t="n"/>
      <c r="P59" s="64" t="n"/>
      <c r="Q59" s="63" t="n"/>
      <c r="R59" s="63" t="n"/>
      <c r="S59" s="63"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2" t="n"/>
      <c r="M60" s="63" t="n"/>
      <c r="N60" s="32" t="inlineStr">
        <is>
          <t>Inactive</t>
        </is>
      </c>
      <c r="O60" s="32" t="n"/>
      <c r="P60" s="64" t="n"/>
      <c r="Q60" s="63" t="n"/>
      <c r="R60" s="63" t="n"/>
      <c r="S60" s="63"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2" t="n"/>
      <c r="M61" s="63" t="n"/>
      <c r="N61" s="32" t="inlineStr">
        <is>
          <t>Inactive</t>
        </is>
      </c>
      <c r="O61" s="32" t="n"/>
      <c r="P61" s="64" t="n"/>
      <c r="Q61" s="63" t="n"/>
      <c r="R61" s="63" t="n"/>
      <c r="S61" s="63"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2" t="n"/>
      <c r="M62" s="63" t="n"/>
      <c r="N62" s="32" t="inlineStr">
        <is>
          <t>Inactive</t>
        </is>
      </c>
      <c r="O62" s="32" t="n"/>
      <c r="P62" s="64" t="n"/>
      <c r="Q62" s="63" t="n"/>
      <c r="R62" s="63" t="n"/>
      <c r="S62" s="63"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2" t="n"/>
      <c r="M63" s="63" t="n"/>
      <c r="N63" s="32" t="inlineStr">
        <is>
          <t>Inactive</t>
        </is>
      </c>
      <c r="O63" s="32" t="n"/>
      <c r="P63" s="64" t="n"/>
      <c r="Q63" s="63" t="n"/>
      <c r="R63" s="63" t="n"/>
      <c r="S63" s="63"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2" t="n"/>
      <c r="M64" s="63" t="n"/>
      <c r="N64" s="32" t="inlineStr">
        <is>
          <t>Inactive</t>
        </is>
      </c>
      <c r="O64" s="32" t="n"/>
      <c r="P64" s="64" t="n"/>
      <c r="Q64" s="63" t="n"/>
      <c r="R64" s="63" t="n"/>
      <c r="S64" s="63"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2" t="n"/>
      <c r="M65" s="63" t="n"/>
      <c r="N65" s="32" t="inlineStr">
        <is>
          <t>Inactive</t>
        </is>
      </c>
      <c r="O65" s="32" t="n"/>
      <c r="P65" s="64" t="n"/>
      <c r="Q65" s="63" t="n"/>
      <c r="R65" s="63" t="n"/>
      <c r="S65" s="63"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2" t="n"/>
      <c r="M66" s="63" t="n"/>
      <c r="N66" s="32" t="inlineStr">
        <is>
          <t>Inactive</t>
        </is>
      </c>
      <c r="O66" s="32" t="n"/>
      <c r="P66" s="64" t="n"/>
      <c r="Q66" s="63" t="n"/>
      <c r="R66" s="63" t="n"/>
      <c r="S66" s="63"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2" t="n"/>
      <c r="M67" s="63" t="n"/>
      <c r="N67" s="32" t="inlineStr">
        <is>
          <t>Inactive</t>
        </is>
      </c>
      <c r="O67" s="32" t="n"/>
      <c r="P67" s="64" t="n"/>
      <c r="Q67" s="63" t="n"/>
      <c r="R67" s="63" t="n"/>
      <c r="S67" s="63"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2" t="n"/>
      <c r="M68" s="63" t="n"/>
      <c r="N68" s="32" t="inlineStr">
        <is>
          <t>Inactive</t>
        </is>
      </c>
      <c r="O68" s="32" t="n"/>
      <c r="P68" s="64" t="n"/>
      <c r="Q68" s="63" t="n"/>
      <c r="R68" s="63" t="n"/>
      <c r="S68" s="63"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2" t="n"/>
      <c r="M69" s="63" t="n"/>
      <c r="N69" s="32" t="inlineStr">
        <is>
          <t>Inactive</t>
        </is>
      </c>
      <c r="O69" s="32" t="n"/>
      <c r="P69" s="64" t="n"/>
      <c r="Q69" s="63" t="n"/>
      <c r="R69" s="63" t="n"/>
      <c r="S69" s="63"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2" t="n"/>
      <c r="M70" s="63" t="n"/>
      <c r="N70" s="32" t="inlineStr">
        <is>
          <t>Inactive</t>
        </is>
      </c>
      <c r="O70" s="32" t="n"/>
      <c r="P70" s="64" t="n"/>
      <c r="Q70" s="63" t="n"/>
      <c r="R70" s="63" t="n"/>
      <c r="S70" s="63"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2" t="n"/>
      <c r="M71" s="63" t="n"/>
      <c r="N71" s="32" t="inlineStr">
        <is>
          <t>Inactive</t>
        </is>
      </c>
      <c r="O71" s="32" t="n"/>
      <c r="P71" s="64" t="n"/>
      <c r="Q71" s="63" t="n"/>
      <c r="R71" s="63" t="n"/>
      <c r="S71" s="63"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2" t="n"/>
      <c r="M72" s="63" t="n"/>
      <c r="N72" s="32" t="inlineStr">
        <is>
          <t>Inactive</t>
        </is>
      </c>
      <c r="O72" s="32" t="n"/>
      <c r="P72" s="64" t="n"/>
      <c r="Q72" s="63" t="n"/>
      <c r="R72" s="63" t="n"/>
      <c r="S72" s="63"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2" t="n"/>
      <c r="M73" s="63" t="n"/>
      <c r="N73" s="32" t="inlineStr">
        <is>
          <t>Inactive</t>
        </is>
      </c>
      <c r="O73" s="32" t="n"/>
      <c r="P73" s="64" t="n"/>
      <c r="Q73" s="63" t="n"/>
      <c r="R73" s="63" t="n"/>
      <c r="S73" s="63"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2" t="n"/>
      <c r="M74" s="63" t="n"/>
      <c r="N74" s="32" t="inlineStr">
        <is>
          <t>Inactive</t>
        </is>
      </c>
      <c r="O74" s="32" t="n"/>
      <c r="P74" s="64" t="n"/>
      <c r="Q74" s="63" t="n"/>
      <c r="R74" s="63" t="n"/>
      <c r="S74" s="63"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2" t="n"/>
      <c r="M75" s="63" t="n"/>
      <c r="N75" s="32" t="inlineStr">
        <is>
          <t>Inactive</t>
        </is>
      </c>
      <c r="O75" s="32" t="n"/>
      <c r="P75" s="64" t="n"/>
      <c r="Q75" s="63" t="n"/>
      <c r="R75" s="63" t="n"/>
      <c r="S75" s="63"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2" t="n"/>
      <c r="M76" s="63" t="n"/>
      <c r="N76" s="32" t="inlineStr">
        <is>
          <t>Inactive</t>
        </is>
      </c>
      <c r="O76" s="32" t="n"/>
      <c r="P76" s="64" t="n"/>
      <c r="Q76" s="63" t="n"/>
      <c r="R76" s="63" t="n"/>
      <c r="S76" s="63"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2" t="n"/>
      <c r="M77" s="63" t="n"/>
      <c r="N77" s="32" t="inlineStr">
        <is>
          <t>Inactive</t>
        </is>
      </c>
      <c r="O77" s="32" t="n"/>
      <c r="P77" s="64" t="n"/>
      <c r="Q77" s="63" t="n"/>
      <c r="R77" s="63" t="n"/>
      <c r="S77" s="63"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2" t="n"/>
      <c r="M78" s="63" t="n"/>
      <c r="N78" s="32" t="inlineStr">
        <is>
          <t>Inactive</t>
        </is>
      </c>
      <c r="O78" s="32" t="n"/>
      <c r="P78" s="64" t="n"/>
      <c r="Q78" s="63" t="n"/>
      <c r="R78" s="63" t="n"/>
      <c r="S78" s="63"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2" t="n"/>
      <c r="M79" s="63" t="n"/>
      <c r="N79" s="32" t="inlineStr">
        <is>
          <t>Inactive</t>
        </is>
      </c>
      <c r="O79" s="32" t="n"/>
      <c r="P79" s="64" t="n"/>
      <c r="Q79" s="63" t="n"/>
      <c r="R79" s="63" t="n"/>
      <c r="S79" s="63"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2" t="n"/>
      <c r="M80" s="63" t="n"/>
      <c r="N80" s="32" t="inlineStr">
        <is>
          <t>Inactive</t>
        </is>
      </c>
      <c r="O80" s="32" t="n"/>
      <c r="P80" s="64" t="n"/>
      <c r="Q80" s="63" t="n"/>
      <c r="R80" s="63" t="n"/>
      <c r="S80" s="63"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2" t="n"/>
      <c r="M81" s="63" t="n"/>
      <c r="N81" s="32" t="inlineStr">
        <is>
          <t>Inactive</t>
        </is>
      </c>
      <c r="O81" s="32" t="n"/>
      <c r="P81" s="64" t="n"/>
      <c r="Q81" s="63" t="n"/>
      <c r="R81" s="63" t="n"/>
      <c r="S81" s="63"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2" t="n"/>
      <c r="M82" s="63" t="n"/>
      <c r="N82" s="32" t="inlineStr">
        <is>
          <t>Inactive</t>
        </is>
      </c>
      <c r="O82" s="32" t="n"/>
      <c r="P82" s="64" t="n"/>
      <c r="Q82" s="63" t="n"/>
      <c r="R82" s="63" t="n"/>
      <c r="S82" s="63"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2" t="n"/>
      <c r="M83" s="63" t="n"/>
      <c r="N83" s="32" t="inlineStr">
        <is>
          <t>Inactive</t>
        </is>
      </c>
      <c r="O83" s="32" t="n"/>
      <c r="P83" s="64" t="n"/>
      <c r="Q83" s="63" t="n"/>
      <c r="R83" s="63" t="n"/>
      <c r="S83" s="63"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2" t="n"/>
      <c r="M84" s="63" t="n"/>
      <c r="N84" s="32" t="inlineStr">
        <is>
          <t>Inactive</t>
        </is>
      </c>
      <c r="O84" s="32" t="n"/>
      <c r="P84" s="64" t="n"/>
      <c r="Q84" s="63" t="n"/>
      <c r="R84" s="63" t="n"/>
      <c r="S84" s="63"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2" t="n"/>
      <c r="M85" s="63" t="n"/>
      <c r="N85" s="32" t="inlineStr">
        <is>
          <t>Inactive</t>
        </is>
      </c>
      <c r="O85" s="32" t="n"/>
      <c r="P85" s="64" t="n"/>
      <c r="Q85" s="63" t="n"/>
      <c r="R85" s="63" t="n"/>
      <c r="S85" s="63"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2" t="n"/>
      <c r="M86" s="63" t="n"/>
      <c r="N86" s="32" t="inlineStr">
        <is>
          <t>Inactive</t>
        </is>
      </c>
      <c r="O86" s="32" t="n"/>
      <c r="P86" s="64" t="n"/>
      <c r="Q86" s="63" t="n"/>
      <c r="R86" s="63" t="n"/>
      <c r="S86" s="63"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2" t="n"/>
      <c r="M87" s="63" t="n"/>
      <c r="N87" s="32" t="inlineStr">
        <is>
          <t>Inactive</t>
        </is>
      </c>
      <c r="O87" s="32" t="n"/>
      <c r="P87" s="64" t="n"/>
      <c r="Q87" s="63" t="n"/>
      <c r="R87" s="63" t="n"/>
      <c r="S87" s="63"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2" t="n"/>
      <c r="M88" s="63" t="n"/>
      <c r="N88" s="32" t="inlineStr">
        <is>
          <t>Inactive</t>
        </is>
      </c>
      <c r="O88" s="32" t="n"/>
      <c r="P88" s="64" t="n"/>
      <c r="Q88" s="63" t="n"/>
      <c r="R88" s="63" t="n"/>
      <c r="S88" s="63"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2" t="n"/>
      <c r="M89" s="63" t="n"/>
      <c r="N89" s="32" t="inlineStr">
        <is>
          <t>Inactive</t>
        </is>
      </c>
      <c r="O89" s="32" t="n"/>
      <c r="P89" s="64" t="n"/>
      <c r="Q89" s="63" t="n"/>
      <c r="R89" s="63" t="n"/>
      <c r="S89" s="63"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2" t="n"/>
      <c r="M90" s="63" t="n"/>
      <c r="N90" s="32" t="inlineStr">
        <is>
          <t>Inactive</t>
        </is>
      </c>
      <c r="O90" s="32" t="n"/>
      <c r="P90" s="64" t="n"/>
      <c r="Q90" s="63" t="n"/>
      <c r="R90" s="63" t="n"/>
      <c r="S90" s="63"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2" t="n"/>
      <c r="M91" s="63" t="n"/>
      <c r="N91" s="32" t="inlineStr">
        <is>
          <t>Inactive</t>
        </is>
      </c>
      <c r="O91" s="32" t="n"/>
      <c r="P91" s="64" t="n"/>
      <c r="Q91" s="63" t="n"/>
      <c r="R91" s="63" t="n"/>
      <c r="S91" s="63"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2" t="n"/>
      <c r="M92" s="63" t="n"/>
      <c r="N92" s="32" t="inlineStr">
        <is>
          <t>Inactive</t>
        </is>
      </c>
      <c r="O92" s="32" t="n"/>
      <c r="P92" s="64" t="n"/>
      <c r="Q92" s="63" t="n"/>
      <c r="R92" s="63" t="n"/>
      <c r="S92" s="63"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2" t="n"/>
      <c r="M93" s="63" t="n"/>
      <c r="N93" s="32" t="inlineStr">
        <is>
          <t>Inactive</t>
        </is>
      </c>
      <c r="O93" s="32" t="n"/>
      <c r="P93" s="64" t="n"/>
      <c r="Q93" s="63" t="n"/>
      <c r="R93" s="63" t="n"/>
      <c r="S93" s="63"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2" t="n"/>
      <c r="M94" s="63" t="n"/>
      <c r="N94" s="32" t="inlineStr">
        <is>
          <t>Inactive</t>
        </is>
      </c>
      <c r="O94" s="32" t="n"/>
      <c r="P94" s="64" t="n"/>
      <c r="Q94" s="63" t="n"/>
      <c r="R94" s="63" t="n"/>
      <c r="S94" s="63"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2" t="n"/>
      <c r="M95" s="63" t="n"/>
      <c r="N95" s="32" t="inlineStr">
        <is>
          <t>Inactive</t>
        </is>
      </c>
      <c r="O95" s="32" t="n"/>
      <c r="P95" s="64" t="n"/>
      <c r="Q95" s="63" t="n"/>
      <c r="R95" s="63" t="n"/>
      <c r="S95" s="63"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2" t="n"/>
      <c r="M96" s="63" t="n"/>
      <c r="N96" s="32" t="inlineStr">
        <is>
          <t>Inactive</t>
        </is>
      </c>
      <c r="O96" s="32" t="n"/>
      <c r="P96" s="64" t="n"/>
      <c r="Q96" s="63" t="n"/>
      <c r="R96" s="63" t="n"/>
      <c r="S96" s="63"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2" t="n"/>
      <c r="M97" s="63" t="n"/>
      <c r="N97" s="32" t="inlineStr">
        <is>
          <t>Inactive</t>
        </is>
      </c>
      <c r="O97" s="32" t="n"/>
      <c r="P97" s="64" t="n"/>
      <c r="Q97" s="63" t="n"/>
      <c r="R97" s="63" t="n"/>
      <c r="S97" s="63"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2" t="n"/>
      <c r="M98" s="63" t="n"/>
      <c r="N98" s="32" t="inlineStr">
        <is>
          <t>Inactive</t>
        </is>
      </c>
      <c r="O98" s="32" t="n"/>
      <c r="P98" s="64" t="n"/>
      <c r="Q98" s="63" t="n"/>
      <c r="R98" s="63" t="n"/>
      <c r="S98" s="63"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2" t="n"/>
      <c r="M99" s="63" t="n"/>
      <c r="N99" s="32" t="inlineStr">
        <is>
          <t>Inactive</t>
        </is>
      </c>
      <c r="O99" s="32" t="n"/>
      <c r="P99" s="64" t="n"/>
      <c r="Q99" s="63" t="n"/>
      <c r="R99" s="63" t="n"/>
      <c r="S99" s="63"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2" t="n"/>
      <c r="M100" s="63" t="n"/>
      <c r="N100" s="32" t="inlineStr">
        <is>
          <t>Inactive</t>
        </is>
      </c>
      <c r="O100" s="32" t="n"/>
      <c r="P100" s="64" t="n"/>
      <c r="Q100" s="63" t="n"/>
      <c r="R100" s="63" t="n"/>
      <c r="S100" s="63"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2" t="n"/>
      <c r="M101" s="63" t="n"/>
      <c r="N101" s="32" t="inlineStr">
        <is>
          <t>Inactive</t>
        </is>
      </c>
      <c r="O101" s="32" t="n"/>
      <c r="P101" s="64" t="n"/>
      <c r="Q101" s="63" t="n"/>
      <c r="R101" s="63" t="n"/>
      <c r="S101" s="63"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2" t="n"/>
      <c r="M102" s="63" t="n"/>
      <c r="N102" s="32" t="inlineStr">
        <is>
          <t>Inactive</t>
        </is>
      </c>
      <c r="O102" s="32" t="n"/>
      <c r="P102" s="64" t="n"/>
      <c r="Q102" s="63" t="n"/>
      <c r="R102" s="63" t="n"/>
      <c r="S102" s="63"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2" t="n"/>
      <c r="M103" s="63" t="n"/>
      <c r="N103" s="32" t="inlineStr">
        <is>
          <t>Inactive</t>
        </is>
      </c>
      <c r="O103" s="32" t="n"/>
      <c r="P103" s="64" t="n"/>
      <c r="Q103" s="63" t="n"/>
      <c r="R103" s="63" t="n"/>
      <c r="S103" s="63"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2" t="n"/>
      <c r="M104" s="63" t="n"/>
      <c r="N104" s="32" t="inlineStr">
        <is>
          <t>Inactive</t>
        </is>
      </c>
      <c r="O104" s="32" t="n"/>
      <c r="P104" s="64" t="n"/>
      <c r="Q104" s="63" t="n"/>
      <c r="R104" s="63" t="n"/>
      <c r="S104" s="63"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2" t="n"/>
      <c r="M105" s="63" t="n"/>
      <c r="N105" s="32" t="inlineStr">
        <is>
          <t>Inactive</t>
        </is>
      </c>
      <c r="O105" s="32" t="n"/>
      <c r="P105" s="64" t="n"/>
      <c r="Q105" s="63" t="n"/>
      <c r="R105" s="63" t="n"/>
      <c r="S105" s="63"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2" t="n"/>
      <c r="M106" s="63" t="n"/>
      <c r="N106" s="32" t="inlineStr">
        <is>
          <t>Inactive</t>
        </is>
      </c>
      <c r="O106" s="32" t="n"/>
      <c r="P106" s="64" t="n"/>
      <c r="Q106" s="63" t="n"/>
      <c r="R106" s="63" t="n"/>
      <c r="S106" s="63"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2" t="n"/>
      <c r="M107" s="63" t="n"/>
      <c r="N107" s="32" t="inlineStr">
        <is>
          <t>Inactive</t>
        </is>
      </c>
      <c r="O107" s="32" t="n"/>
      <c r="P107" s="64" t="n"/>
      <c r="Q107" s="63" t="n"/>
      <c r="R107" s="63" t="n"/>
      <c r="S107" s="63"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2" t="n"/>
      <c r="M108" s="63" t="n"/>
      <c r="N108" s="32" t="inlineStr">
        <is>
          <t>Inactive</t>
        </is>
      </c>
      <c r="O108" s="32" t="n"/>
      <c r="P108" s="64" t="n"/>
      <c r="Q108" s="63" t="n"/>
      <c r="R108" s="63" t="n"/>
      <c r="S108" s="63"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2" t="n"/>
      <c r="M109" s="63" t="n"/>
      <c r="N109" s="32" t="inlineStr">
        <is>
          <t>Inactive</t>
        </is>
      </c>
      <c r="O109" s="32" t="n"/>
      <c r="P109" s="64" t="n"/>
      <c r="Q109" s="63" t="n"/>
      <c r="R109" s="63" t="n"/>
      <c r="S109" s="63"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2" t="n"/>
      <c r="M110" s="63" t="n"/>
      <c r="N110" s="32" t="inlineStr">
        <is>
          <t>Inactive</t>
        </is>
      </c>
      <c r="O110" s="32" t="n"/>
      <c r="P110" s="64" t="n"/>
      <c r="Q110" s="63" t="n"/>
      <c r="R110" s="63" t="n"/>
      <c r="S110" s="63"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2" t="n"/>
      <c r="M111" s="63" t="n"/>
      <c r="N111" s="32" t="inlineStr">
        <is>
          <t>Inactive</t>
        </is>
      </c>
      <c r="O111" s="32" t="n"/>
      <c r="P111" s="64" t="n"/>
      <c r="Q111" s="63" t="n"/>
      <c r="R111" s="63" t="n"/>
      <c r="S111" s="63"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2" t="n"/>
      <c r="M112" s="63" t="n"/>
      <c r="N112" s="32" t="inlineStr">
        <is>
          <t>Inactive</t>
        </is>
      </c>
      <c r="O112" s="32" t="n"/>
      <c r="P112" s="64" t="n"/>
      <c r="Q112" s="63" t="n"/>
      <c r="R112" s="63" t="n"/>
      <c r="S112" s="63"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2" t="n"/>
      <c r="M113" s="63" t="n"/>
      <c r="N113" s="32" t="inlineStr">
        <is>
          <t>Inactive</t>
        </is>
      </c>
      <c r="O113" s="32" t="n"/>
      <c r="P113" s="64" t="n"/>
      <c r="Q113" s="63" t="n"/>
      <c r="R113" s="63" t="n"/>
      <c r="S113" s="63"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2" t="n"/>
      <c r="M114" s="63" t="n"/>
      <c r="N114" s="32" t="inlineStr">
        <is>
          <t>Inactive</t>
        </is>
      </c>
      <c r="O114" s="32" t="n"/>
      <c r="P114" s="64" t="n"/>
      <c r="Q114" s="63" t="n"/>
      <c r="R114" s="63" t="n"/>
      <c r="S114" s="63"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2" t="n"/>
      <c r="M115" s="63" t="n"/>
      <c r="N115" s="32" t="inlineStr">
        <is>
          <t>Inactive</t>
        </is>
      </c>
      <c r="O115" s="32" t="n"/>
      <c r="P115" s="64" t="n"/>
      <c r="Q115" s="63" t="n"/>
      <c r="R115" s="63" t="n"/>
      <c r="S115" s="63"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2" t="n"/>
      <c r="M116" s="63" t="n"/>
      <c r="N116" s="32" t="inlineStr">
        <is>
          <t>Inactive</t>
        </is>
      </c>
      <c r="O116" s="32" t="n"/>
      <c r="P116" s="64" t="n"/>
      <c r="Q116" s="63" t="n"/>
      <c r="R116" s="63" t="n"/>
      <c r="S116" s="63"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2" t="n"/>
      <c r="M117" s="63" t="n"/>
      <c r="N117" s="32" t="inlineStr">
        <is>
          <t>Inactive</t>
        </is>
      </c>
      <c r="O117" s="32" t="n"/>
      <c r="P117" s="64" t="n"/>
      <c r="Q117" s="63" t="n"/>
      <c r="R117" s="63" t="n"/>
      <c r="S117" s="63"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2" t="n"/>
      <c r="M118" s="63" t="n"/>
      <c r="N118" s="32" t="inlineStr">
        <is>
          <t>Inactive</t>
        </is>
      </c>
      <c r="O118" s="32" t="n"/>
      <c r="P118" s="64" t="n"/>
      <c r="Q118" s="63" t="n"/>
      <c r="R118" s="63" t="n"/>
      <c r="S118" s="63"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2" t="n"/>
      <c r="M119" s="63" t="n"/>
      <c r="N119" s="32" t="inlineStr">
        <is>
          <t>Inactive</t>
        </is>
      </c>
      <c r="O119" s="32" t="n"/>
      <c r="P119" s="64" t="n"/>
      <c r="Q119" s="63" t="n"/>
      <c r="R119" s="63" t="n"/>
      <c r="S119" s="63"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2" t="n"/>
      <c r="M120" s="63" t="n"/>
      <c r="N120" s="32" t="inlineStr">
        <is>
          <t>Inactive</t>
        </is>
      </c>
      <c r="O120" s="32" t="n"/>
      <c r="P120" s="64" t="n"/>
      <c r="Q120" s="63" t="n"/>
      <c r="R120" s="63" t="n"/>
      <c r="S120" s="63"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2" t="n"/>
      <c r="M121" s="63" t="n"/>
      <c r="N121" s="32" t="inlineStr">
        <is>
          <t>Inactive</t>
        </is>
      </c>
      <c r="O121" s="32" t="n"/>
      <c r="P121" s="64" t="n"/>
      <c r="Q121" s="63" t="n"/>
      <c r="R121" s="63" t="n"/>
      <c r="S121" s="63"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2" t="n"/>
      <c r="M122" s="63" t="n"/>
      <c r="N122" s="32" t="inlineStr">
        <is>
          <t>Inactive</t>
        </is>
      </c>
      <c r="O122" s="32" t="n"/>
      <c r="P122" s="64" t="n"/>
      <c r="Q122" s="63" t="n"/>
      <c r="R122" s="63" t="n"/>
      <c r="S122" s="63"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2" t="n"/>
      <c r="M123" s="63" t="n"/>
      <c r="N123" s="32" t="inlineStr">
        <is>
          <t>Inactive</t>
        </is>
      </c>
      <c r="O123" s="32" t="n"/>
      <c r="P123" s="64" t="n"/>
      <c r="Q123" s="63" t="n"/>
      <c r="R123" s="63" t="n"/>
      <c r="S123" s="63"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2" t="n"/>
      <c r="M124" s="63" t="n"/>
      <c r="N124" s="32" t="inlineStr">
        <is>
          <t>Inactive</t>
        </is>
      </c>
      <c r="O124" s="32" t="n"/>
      <c r="P124" s="64" t="n"/>
      <c r="Q124" s="63" t="n"/>
      <c r="R124" s="63" t="n"/>
      <c r="S124" s="63"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2" t="n"/>
      <c r="M125" s="63" t="n"/>
      <c r="N125" s="32" t="inlineStr">
        <is>
          <t>Inactive</t>
        </is>
      </c>
      <c r="O125" s="32" t="n"/>
      <c r="P125" s="64" t="n"/>
      <c r="Q125" s="63" t="n"/>
      <c r="R125" s="63" t="n"/>
      <c r="S125" s="63"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2" t="n"/>
      <c r="M126" s="63" t="n"/>
      <c r="N126" s="32" t="inlineStr">
        <is>
          <t>Inactive</t>
        </is>
      </c>
      <c r="O126" s="32" t="n"/>
      <c r="P126" s="64" t="n"/>
      <c r="Q126" s="63" t="n"/>
      <c r="R126" s="63" t="n"/>
      <c r="S126" s="63"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2" t="n"/>
      <c r="M127" s="63" t="n"/>
      <c r="N127" s="32" t="inlineStr">
        <is>
          <t>Inactive</t>
        </is>
      </c>
      <c r="O127" s="32" t="n"/>
      <c r="P127" s="64" t="n"/>
      <c r="Q127" s="63" t="n"/>
      <c r="R127" s="63" t="n"/>
      <c r="S127" s="63"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2" t="n"/>
      <c r="M128" s="63" t="n"/>
      <c r="N128" s="32" t="inlineStr">
        <is>
          <t>Inactive</t>
        </is>
      </c>
      <c r="O128" s="32" t="n"/>
      <c r="P128" s="64" t="n"/>
      <c r="Q128" s="63" t="n"/>
      <c r="R128" s="63" t="n"/>
      <c r="S128" s="63"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2" t="n"/>
      <c r="M129" s="63" t="n"/>
      <c r="N129" s="32" t="inlineStr">
        <is>
          <t>Inactive</t>
        </is>
      </c>
      <c r="O129" s="32" t="n"/>
      <c r="P129" s="64" t="n"/>
      <c r="Q129" s="63" t="n"/>
      <c r="R129" s="63" t="n"/>
      <c r="S129" s="63"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2" t="n"/>
      <c r="M130" s="63" t="n"/>
      <c r="N130" s="32" t="inlineStr">
        <is>
          <t>Inactive</t>
        </is>
      </c>
      <c r="O130" s="32" t="n"/>
      <c r="P130" s="64" t="n"/>
      <c r="Q130" s="63" t="n"/>
      <c r="R130" s="63" t="n"/>
      <c r="S130" s="63"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2" t="n"/>
      <c r="M131" s="63" t="n"/>
      <c r="N131" s="32" t="inlineStr">
        <is>
          <t>Inactive</t>
        </is>
      </c>
      <c r="O131" s="32" t="n"/>
      <c r="P131" s="64" t="n"/>
      <c r="Q131" s="63" t="n"/>
      <c r="R131" s="63" t="n"/>
      <c r="S131" s="63"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2" t="n"/>
      <c r="M132" s="63" t="n"/>
      <c r="N132" s="32" t="inlineStr">
        <is>
          <t>Inactive</t>
        </is>
      </c>
      <c r="O132" s="32" t="n"/>
      <c r="P132" s="64" t="n"/>
      <c r="Q132" s="63" t="n"/>
      <c r="R132" s="63" t="n"/>
      <c r="S132" s="63"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2" t="n"/>
      <c r="M133" s="63" t="n"/>
      <c r="N133" s="32" t="inlineStr">
        <is>
          <t>Inactive</t>
        </is>
      </c>
      <c r="O133" s="32" t="n"/>
      <c r="P133" s="64" t="n"/>
      <c r="Q133" s="63" t="n"/>
      <c r="R133" s="63" t="n"/>
      <c r="S133" s="63" t="n"/>
      <c r="T133" s="32" t="n"/>
    </row>
    <row r="135" ht="20" customHeight="1">
      <c r="A135" s="53" t="inlineStr">
        <is>
          <t>3 · OUR BFCM 2025 RESULT &amp; EVENT VISIBILITY</t>
        </is>
      </c>
    </row>
    <row r="136">
      <c r="A136" s="66" t="inlineStr">
        <is>
          <t>Window</t>
        </is>
      </c>
      <c r="B136" s="67" t="n"/>
      <c r="C136" s="68" t="n"/>
      <c r="D136" s="66" t="inlineStr">
        <is>
          <t>Ad spend</t>
        </is>
      </c>
      <c r="E136" s="66" t="inlineStr">
        <is>
          <t>Ad sales</t>
        </is>
      </c>
      <c r="F136" s="66" t="inlineStr">
        <is>
          <t>ACoS</t>
        </is>
      </c>
      <c r="G136" s="66" t="inlineStr">
        <is>
          <t>TACoS</t>
        </is>
      </c>
      <c r="H136" s="66" t="inlineStr">
        <is>
          <t>Total sales (derived)</t>
        </is>
      </c>
      <c r="J136" s="66" t="inlineStr">
        <is>
          <t>Ad orders</t>
        </is>
      </c>
      <c r="K136" s="66" t="inlineStr">
        <is>
          <t>CVR</t>
        </is>
      </c>
    </row>
    <row r="137">
      <c r="A137" s="69" t="inlineStr">
        <is>
          <t>Pre-event Oct 21 - Nov 19, 2025 (30d)</t>
        </is>
      </c>
      <c r="B137" s="67" t="n"/>
      <c r="C137" s="68" t="n"/>
      <c r="D137" s="70" t="n"/>
      <c r="E137" s="70" t="n"/>
      <c r="F137" s="71" t="n"/>
      <c r="G137" s="71" t="n"/>
      <c r="H137" s="70" t="n"/>
      <c r="J137" s="72" t="n"/>
      <c r="K137" s="73" t="n"/>
    </row>
    <row r="138">
      <c r="A138" s="69" t="inlineStr">
        <is>
          <t>BFCM week Nov 20 - Dec 1, 2025 (12d)</t>
        </is>
      </c>
      <c r="B138" s="67" t="n"/>
      <c r="C138" s="68" t="n"/>
      <c r="D138" s="70" t="n"/>
      <c r="E138" s="70" t="n"/>
      <c r="F138" s="71" t="n"/>
      <c r="G138" s="71" t="n"/>
      <c r="H138" s="70" t="n"/>
      <c r="J138" s="72" t="n"/>
      <c r="K138" s="73" t="n"/>
    </row>
    <row r="139">
      <c r="A139" s="69" t="inlineStr">
        <is>
          <t>December 2 - 31, 2025 (30d)</t>
        </is>
      </c>
      <c r="B139" s="67" t="n"/>
      <c r="C139" s="68" t="n"/>
      <c r="D139" s="70" t="n"/>
      <c r="E139" s="70" t="n"/>
      <c r="F139" s="71" t="n"/>
      <c r="G139" s="71" t="n"/>
      <c r="H139" s="70" t="n"/>
      <c r="J139" s="72" t="n"/>
      <c r="K139" s="73" t="n"/>
    </row>
    <row r="140" ht="18" customHeight="1">
      <c r="A140" s="110" t="inlineStr">
        <is>
          <t>BFCM 2026 plan (BM, Oct 15, 2026): NOT IN A DEAL. BM confirmed that products without a planned deal are not in any BFCM 2026 deal; they sell at their regular price.</t>
        </is>
      </c>
    </row>
    <row r="141">
      <c r="A141" s="58" t="inlineStr">
        <is>
          <t>No Command Center visibility history for our best child ASIN.</t>
        </is>
      </c>
    </row>
    <row r="142">
      <c r="A142" s="111" t="inlineStr">
        <is>
          <t>No BFCM 2025 PPC data for this product (not advertised or launched after BFCM 2025).</t>
        </is>
      </c>
    </row>
    <row r="144" ht="20" customHeight="1">
      <c r="A144" s="53" t="inlineStr">
        <is>
          <t>4 · COMPETITOR LANDSCAPE (27 mapped)</t>
        </is>
      </c>
    </row>
    <row r="145">
      <c r="A145" s="58"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3"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Satin Fitted Sheet  ·  Amazon.com (US)  ·  Satin  ·  BFCM role: Opportunistic  ·  Scope: Core</t>
        </is>
      </c>
    </row>
    <row r="2">
      <c r="A2" s="52" t="inlineStr">
        <is>
          <t>← Dashboard</t>
        </is>
      </c>
    </row>
    <row r="3" ht="20" customHeight="1">
      <c r="A3" s="53"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4" t="inlineStr">
        <is>
          <t>Full, King, Queen, Twin</t>
        </is>
      </c>
      <c r="S4" s="11" t="inlineStr">
        <is>
          <t>Break-even ACoS</t>
        </is>
      </c>
      <c r="T4" s="54" t="inlineStr">
        <is>
          <t>31%</t>
        </is>
      </c>
    </row>
    <row r="5" ht="22" customHeight="1">
      <c r="C5" s="11" t="inlineStr">
        <is>
          <t>Brand</t>
        </is>
      </c>
      <c r="D5" s="54" t="inlineStr">
        <is>
          <t>Decolure</t>
        </is>
      </c>
      <c r="K5" s="11" t="inlineStr">
        <is>
          <t>Colours</t>
        </is>
      </c>
      <c r="L5" s="54" t="inlineStr">
        <is>
          <t>Baby Blue, Black, Blush Pink, Dark Green, Gold, Grey, Ivory, Lavender, Navy Blue, Pink, Purple, Red, Rosewood, Sage Green, Sea Teal, Stone Grey, White</t>
        </is>
      </c>
      <c r="S5" s="11" t="inlineStr">
        <is>
          <t>Units last 28 days</t>
        </is>
      </c>
      <c r="T5" s="54" t="inlineStr">
        <is>
          <t>759</t>
        </is>
      </c>
    </row>
    <row r="6" ht="22" customHeight="1">
      <c r="C6" s="11" t="inlineStr">
        <is>
          <t>Marketplace</t>
        </is>
      </c>
      <c r="D6" s="54" t="inlineStr">
        <is>
          <t>Amazon.com (US)</t>
        </is>
      </c>
      <c r="K6" s="11" t="inlineStr">
        <is>
          <t>Price now, best child</t>
        </is>
      </c>
      <c r="L6" s="54" t="inlineStr">
        <is>
          <t>$21.95 (Helium 10 Xray, 2026-10-13)</t>
        </is>
      </c>
      <c r="S6" s="11" t="inlineStr">
        <is>
          <t>Command Center product ASIN</t>
        </is>
      </c>
      <c r="T6" s="54" t="inlineStr">
        <is>
          <t>B0DBVZV66D (one of our child ASINs, not the Amazon parent)</t>
        </is>
      </c>
    </row>
    <row r="7" ht="22" customHeight="1">
      <c r="C7" s="11" t="inlineStr">
        <is>
          <t>Parent ASIN (Amazon)</t>
        </is>
      </c>
      <c r="D7" s="54" t="inlineStr">
        <is>
          <t>B0DZ17NCJ4</t>
        </is>
      </c>
      <c r="K7" s="11" t="inlineStr">
        <is>
          <t>Rating / reviews now</t>
        </is>
      </c>
      <c r="L7" s="54" t="inlineStr">
        <is>
          <t>4.5 / 1,284 (Helium 10 Xray, 2026-10-13)</t>
        </is>
      </c>
    </row>
    <row r="8" ht="22" customHeight="1">
      <c r="C8" s="11" t="inlineStr">
        <is>
          <t>Best-selling child ASIN</t>
        </is>
      </c>
      <c r="D8" s="54" t="inlineStr">
        <is>
          <t>B0DBW1PNJ8</t>
        </is>
      </c>
      <c r="K8" s="11" t="inlineStr">
        <is>
          <t>Live prices held</t>
        </is>
      </c>
      <c r="L8" s="54" t="inlineStr">
        <is>
          <t>53 of 68 variations</t>
        </is>
      </c>
    </row>
    <row r="9" ht="22" customHeight="1">
      <c r="C9" s="11" t="inlineStr">
        <is>
          <t>Stage</t>
        </is>
      </c>
      <c r="D9" s="54" t="inlineStr">
        <is>
          <t>Maintenance</t>
        </is>
      </c>
      <c r="K9" s="11" t="inlineStr">
        <is>
          <t>Blended price (Command Center)</t>
        </is>
      </c>
      <c r="L9" s="54" t="inlineStr">
        <is>
          <t>$19.34 - fee feed as of 2026-03-30, STALE</t>
        </is>
      </c>
    </row>
    <row r="10">
      <c r="C10" s="11" t="inlineStr">
        <is>
          <t>Total variations (SKUs)</t>
        </is>
      </c>
      <c r="D10" s="54" t="n">
        <v>68</v>
      </c>
      <c r="K10" s="11" t="inlineStr">
        <is>
          <t>Contribution / unit</t>
        </is>
      </c>
      <c r="L10" s="54" t="inlineStr">
        <is>
          <t>$5.91</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2.47x</t>
        </is>
      </c>
      <c r="E12" s="56" t="inlineStr">
        <is>
          <t>7.8%</t>
        </is>
      </c>
      <c r="I12" s="56" t="inlineStr">
        <is>
          <t>1.51x</t>
        </is>
      </c>
      <c r="M12" s="56" t="inlineStr">
        <is>
          <t>14</t>
        </is>
      </c>
      <c r="Q12" s="56" t="inlineStr">
        <is>
          <t>13</t>
        </is>
      </c>
      <c r="U12" s="56" t="inlineStr">
        <is>
          <t>0</t>
        </is>
      </c>
    </row>
    <row r="13">
      <c r="A13" s="57" t="inlineStr">
        <is>
          <t>daily sales, BFCM wk vs 30 days before (SellerBoard actual)</t>
        </is>
      </c>
      <c r="E13" s="57" t="inlineStr">
        <is>
          <t>vs 11.2%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(68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59" t="n">
        <v>21.95</v>
      </c>
      <c r="H18" s="32" t="inlineStr">
        <is>
          <t>Helium 10 Xray, 2026-10-13</t>
        </is>
      </c>
      <c r="I18" s="60" t="n">
        <v>17.95</v>
      </c>
      <c r="J18" s="61" t="inlineStr">
        <is>
          <t>2026-03-30</t>
        </is>
      </c>
      <c r="K18" s="33" t="n">
        <v>5.24</v>
      </c>
      <c r="L18" s="62" t="n">
        <v>0.2919220055710307</v>
      </c>
      <c r="M18" s="63" t="n">
        <v>80</v>
      </c>
      <c r="N18" s="32" t="inlineStr">
        <is>
          <t>Active</t>
        </is>
      </c>
      <c r="O18" s="32" t="inlineStr">
        <is>
          <t>Yes (12%)</t>
        </is>
      </c>
      <c r="P18" s="64" t="n">
        <v>4.5</v>
      </c>
      <c r="Q18" s="63" t="n">
        <v>1284</v>
      </c>
      <c r="R18" s="63" t="n">
        <v>29175</v>
      </c>
      <c r="S18" s="63"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59" t="n">
        <v>21.95</v>
      </c>
      <c r="H19" s="32" t="inlineStr">
        <is>
          <t>Helium 10 Xray, 2026-10-13</t>
        </is>
      </c>
      <c r="I19" s="60" t="n">
        <v>17.95</v>
      </c>
      <c r="J19" s="61" t="inlineStr">
        <is>
          <t>2026-03-30</t>
        </is>
      </c>
      <c r="K19" s="33" t="n">
        <v>3.87</v>
      </c>
      <c r="L19" s="62" t="n">
        <v>0.2155988857938719</v>
      </c>
      <c r="M19" s="63" t="n">
        <v>49</v>
      </c>
      <c r="N19" s="32" t="inlineStr">
        <is>
          <t>Active</t>
        </is>
      </c>
      <c r="O19" s="32" t="n"/>
      <c r="P19" s="64" t="n">
        <v>4.5</v>
      </c>
      <c r="Q19" s="63" t="n">
        <v>1284</v>
      </c>
      <c r="R19" s="63" t="n">
        <v>29175</v>
      </c>
      <c r="S19" s="63"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59" t="n">
        <v>21.95</v>
      </c>
      <c r="H20" s="32" t="inlineStr">
        <is>
          <t>Helium 10 Xray, 2026-10-13</t>
        </is>
      </c>
      <c r="I20" s="60" t="n">
        <v>24.95</v>
      </c>
      <c r="J20" s="61" t="inlineStr">
        <is>
          <t>2026-03-30</t>
        </is>
      </c>
      <c r="K20" s="33" t="n">
        <v>10.72</v>
      </c>
      <c r="L20" s="62" t="n">
        <v>0.4296593186372746</v>
      </c>
      <c r="M20" s="63" t="n">
        <v>49</v>
      </c>
      <c r="N20" s="32" t="inlineStr">
        <is>
          <t>Active</t>
        </is>
      </c>
      <c r="O20" s="32" t="inlineStr">
        <is>
          <t>Yes (14%)</t>
        </is>
      </c>
      <c r="P20" s="64" t="n">
        <v>4.5</v>
      </c>
      <c r="Q20" s="63" t="n">
        <v>1284</v>
      </c>
      <c r="R20" s="63" t="n">
        <v>29169</v>
      </c>
      <c r="S20" s="63"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59" t="n">
        <v>22.95</v>
      </c>
      <c r="H21" s="32" t="inlineStr">
        <is>
          <t>Helium 10 Xray, 2026-10-13</t>
        </is>
      </c>
      <c r="I21" s="60" t="n">
        <v>19.95</v>
      </c>
      <c r="J21" s="61" t="inlineStr">
        <is>
          <t>2026-03-30</t>
        </is>
      </c>
      <c r="K21" s="33" t="n">
        <v>5.480000000000001</v>
      </c>
      <c r="L21" s="62" t="n">
        <v>0.27468671679198</v>
      </c>
      <c r="M21" s="63" t="n">
        <v>38</v>
      </c>
      <c r="N21" s="32" t="inlineStr">
        <is>
          <t>Active</t>
        </is>
      </c>
      <c r="O21" s="32" t="n"/>
      <c r="P21" s="64" t="n">
        <v>4.5</v>
      </c>
      <c r="Q21" s="63" t="n">
        <v>1284</v>
      </c>
      <c r="R21" s="63" t="n">
        <v>29169</v>
      </c>
      <c r="S21" s="63"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59" t="n">
        <v>21.95</v>
      </c>
      <c r="H22" s="32" t="inlineStr">
        <is>
          <t>Helium 10 Xray, 2026-10-13</t>
        </is>
      </c>
      <c r="I22" s="60" t="n">
        <v>17.95</v>
      </c>
      <c r="J22" s="61" t="inlineStr">
        <is>
          <t>2026-03-30</t>
        </is>
      </c>
      <c r="K22" s="33" t="n">
        <v>4.990000000000001</v>
      </c>
      <c r="L22" s="62" t="n">
        <v>0.2779944289693594</v>
      </c>
      <c r="M22" s="63" t="n">
        <v>31</v>
      </c>
      <c r="N22" s="32" t="inlineStr">
        <is>
          <t>Active</t>
        </is>
      </c>
      <c r="O22" s="32" t="n"/>
      <c r="P22" s="64" t="n">
        <v>4.5</v>
      </c>
      <c r="Q22" s="63" t="n">
        <v>1284</v>
      </c>
      <c r="R22" s="63" t="n">
        <v>29169</v>
      </c>
      <c r="S22" s="63"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59" t="n">
        <v>21.95</v>
      </c>
      <c r="H23" s="32" t="inlineStr">
        <is>
          <t>Helium 10 Xray, 2026-10-13</t>
        </is>
      </c>
      <c r="I23" s="60" t="n">
        <v>17.95</v>
      </c>
      <c r="J23" s="61" t="inlineStr">
        <is>
          <t>2026-03-30</t>
        </is>
      </c>
      <c r="K23" s="33" t="n">
        <v>4.920000000000001</v>
      </c>
      <c r="L23" s="62" t="n">
        <v>0.2740947075208914</v>
      </c>
      <c r="M23" s="63" t="n">
        <v>30</v>
      </c>
      <c r="N23" s="32" t="inlineStr">
        <is>
          <t>Active</t>
        </is>
      </c>
      <c r="O23" s="32" t="n"/>
      <c r="P23" s="64" t="n">
        <v>4.5</v>
      </c>
      <c r="Q23" s="63" t="n">
        <v>1284</v>
      </c>
      <c r="R23" s="63" t="n">
        <v>29169</v>
      </c>
      <c r="S23" s="63"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59" t="n">
        <v>21.95</v>
      </c>
      <c r="H24" s="32" t="inlineStr">
        <is>
          <t>Helium 10 Xray, 2026-10-13</t>
        </is>
      </c>
      <c r="I24" s="60" t="n">
        <v>17.95</v>
      </c>
      <c r="J24" s="61" t="inlineStr">
        <is>
          <t>2026-03-30</t>
        </is>
      </c>
      <c r="K24" s="33" t="n">
        <v>5.239999999999999</v>
      </c>
      <c r="L24" s="62" t="n">
        <v>0.2919220055710306</v>
      </c>
      <c r="M24" s="63" t="n">
        <v>24</v>
      </c>
      <c r="N24" s="32" t="inlineStr">
        <is>
          <t>Active</t>
        </is>
      </c>
      <c r="O24" s="32" t="n"/>
      <c r="P24" s="64" t="n">
        <v>4.5</v>
      </c>
      <c r="Q24" s="63" t="n">
        <v>1284</v>
      </c>
      <c r="R24" s="63" t="n">
        <v>29175</v>
      </c>
      <c r="S24" s="63"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59" t="n">
        <v>21.95</v>
      </c>
      <c r="H25" s="32" t="inlineStr">
        <is>
          <t>Helium 10 Xray, 2026-10-13</t>
        </is>
      </c>
      <c r="I25" s="60" t="n">
        <v>17.95</v>
      </c>
      <c r="J25" s="61" t="inlineStr">
        <is>
          <t>2026-03-30</t>
        </is>
      </c>
      <c r="K25" s="33" t="n">
        <v>4.859999999999999</v>
      </c>
      <c r="L25" s="62" t="n">
        <v>0.2707520891364902</v>
      </c>
      <c r="M25" s="63" t="n">
        <v>20</v>
      </c>
      <c r="N25" s="32" t="inlineStr">
        <is>
          <t>Active</t>
        </is>
      </c>
      <c r="O25" s="32" t="n"/>
      <c r="P25" s="64" t="n">
        <v>4.5</v>
      </c>
      <c r="Q25" s="63" t="n">
        <v>1284</v>
      </c>
      <c r="R25" s="63" t="n">
        <v>29175</v>
      </c>
      <c r="S25" s="63"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59" t="n">
        <v>22.95</v>
      </c>
      <c r="H26" s="32" t="inlineStr">
        <is>
          <t>Helium 10 Xray, 2026-10-13</t>
        </is>
      </c>
      <c r="I26" s="60" t="n">
        <v>19.95</v>
      </c>
      <c r="J26" s="61" t="inlineStr">
        <is>
          <t>2026-03-30</t>
        </is>
      </c>
      <c r="K26" s="33" t="n">
        <v>5.8</v>
      </c>
      <c r="L26" s="62" t="n">
        <v>0.2907268170426065</v>
      </c>
      <c r="M26" s="63" t="n">
        <v>18</v>
      </c>
      <c r="N26" s="32" t="inlineStr">
        <is>
          <t>Active</t>
        </is>
      </c>
      <c r="O26" s="32" t="n"/>
      <c r="P26" s="64" t="n">
        <v>4.5</v>
      </c>
      <c r="Q26" s="63" t="n">
        <v>1284</v>
      </c>
      <c r="R26" s="63" t="n">
        <v>29175</v>
      </c>
      <c r="S26" s="63"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59" t="n">
        <v>22.95</v>
      </c>
      <c r="H27" s="32" t="inlineStr">
        <is>
          <t>Helium 10 Xray, 2026-10-13</t>
        </is>
      </c>
      <c r="I27" s="60" t="n">
        <v>19.95</v>
      </c>
      <c r="J27" s="61" t="inlineStr">
        <is>
          <t>2026-03-30</t>
        </is>
      </c>
      <c r="K27" s="33" t="n">
        <v>5.190000000000001</v>
      </c>
      <c r="L27" s="62" t="n">
        <v>0.2601503759398497</v>
      </c>
      <c r="M27" s="63" t="n">
        <v>17</v>
      </c>
      <c r="N27" s="32" t="inlineStr">
        <is>
          <t>Active</t>
        </is>
      </c>
      <c r="O27" s="32" t="n"/>
      <c r="P27" s="64" t="n">
        <v>4.5</v>
      </c>
      <c r="Q27" s="63" t="n">
        <v>1284</v>
      </c>
      <c r="R27" s="63" t="n">
        <v>29175</v>
      </c>
      <c r="S27" s="63"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59" t="n">
        <v>22.95</v>
      </c>
      <c r="H28" s="32" t="inlineStr">
        <is>
          <t>Helium 10 Xray, 2026-10-13</t>
        </is>
      </c>
      <c r="I28" s="60" t="n">
        <v>19.95</v>
      </c>
      <c r="J28" s="61" t="inlineStr">
        <is>
          <t>2026-03-30</t>
        </is>
      </c>
      <c r="K28" s="33" t="n">
        <v>5.45</v>
      </c>
      <c r="L28" s="62" t="n">
        <v>0.2731829573934837</v>
      </c>
      <c r="M28" s="63" t="n">
        <v>17</v>
      </c>
      <c r="N28" s="32" t="inlineStr">
        <is>
          <t>Active</t>
        </is>
      </c>
      <c r="O28" s="32" t="n"/>
      <c r="P28" s="64" t="n">
        <v>4.5</v>
      </c>
      <c r="Q28" s="63" t="n">
        <v>1284</v>
      </c>
      <c r="R28" s="63" t="n">
        <v>29169</v>
      </c>
      <c r="S28" s="63"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59" t="n">
        <v>22.95</v>
      </c>
      <c r="H29" s="32" t="inlineStr">
        <is>
          <t>Helium 10 Xray, 2026-10-13</t>
        </is>
      </c>
      <c r="I29" s="60" t="n">
        <v>19.95</v>
      </c>
      <c r="J29" s="61" t="inlineStr">
        <is>
          <t>2026-03-30</t>
        </is>
      </c>
      <c r="K29" s="33" t="n">
        <v>5.730000000000001</v>
      </c>
      <c r="L29" s="62" t="n">
        <v>0.287218045112782</v>
      </c>
      <c r="M29" s="63" t="n">
        <v>17</v>
      </c>
      <c r="N29" s="32" t="inlineStr">
        <is>
          <t>Active</t>
        </is>
      </c>
      <c r="O29" s="32" t="inlineStr">
        <is>
          <t>Yes (13%)</t>
        </is>
      </c>
      <c r="P29" s="64" t="n">
        <v>4.5</v>
      </c>
      <c r="Q29" s="63" t="n">
        <v>1284</v>
      </c>
      <c r="R29" s="63" t="n">
        <v>29169</v>
      </c>
      <c r="S29" s="63"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59" t="n">
        <v>21.95</v>
      </c>
      <c r="H30" s="32" t="inlineStr">
        <is>
          <t>Helium 10 Xray, 2026-10-13</t>
        </is>
      </c>
      <c r="I30" s="60" t="n">
        <v>24.95</v>
      </c>
      <c r="J30" s="61" t="inlineStr">
        <is>
          <t>2026-03-30</t>
        </is>
      </c>
      <c r="K30" s="33" t="n">
        <v>10.62</v>
      </c>
      <c r="L30" s="62" t="n">
        <v>0.4256513026052104</v>
      </c>
      <c r="M30" s="63" t="n">
        <v>16</v>
      </c>
      <c r="N30" s="32" t="inlineStr">
        <is>
          <t>Active</t>
        </is>
      </c>
      <c r="O30" s="32" t="n"/>
      <c r="P30" s="64" t="n">
        <v>4.5</v>
      </c>
      <c r="Q30" s="63" t="n">
        <v>1284</v>
      </c>
      <c r="R30" s="63" t="n">
        <v>29175</v>
      </c>
      <c r="S30" s="63"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59" t="n">
        <v>21.95</v>
      </c>
      <c r="H31" s="32" t="inlineStr">
        <is>
          <t>Helium 10 Xray, 2026-10-13</t>
        </is>
      </c>
      <c r="I31" s="60" t="n">
        <v>17.95</v>
      </c>
      <c r="J31" s="61" t="inlineStr">
        <is>
          <t>2026-03-30</t>
        </is>
      </c>
      <c r="K31" s="33" t="n">
        <v>5.109999999999999</v>
      </c>
      <c r="L31" s="62" t="n">
        <v>0.2846796657381616</v>
      </c>
      <c r="M31" s="63" t="n">
        <v>15</v>
      </c>
      <c r="N31" s="32" t="inlineStr">
        <is>
          <t>Active</t>
        </is>
      </c>
      <c r="O31" s="32" t="n"/>
      <c r="P31" s="64" t="n">
        <v>4.5</v>
      </c>
      <c r="Q31" s="63" t="n">
        <v>1284</v>
      </c>
      <c r="R31" s="63" t="n">
        <v>29169</v>
      </c>
      <c r="S31" s="63"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59" t="n">
        <v>21.95</v>
      </c>
      <c r="H32" s="32" t="inlineStr">
        <is>
          <t>Helium 10 Xray, 2026-10-13</t>
        </is>
      </c>
      <c r="I32" s="60" t="n">
        <v>17.95</v>
      </c>
      <c r="J32" s="61" t="inlineStr">
        <is>
          <t>2026-03-30</t>
        </is>
      </c>
      <c r="K32" s="33" t="n">
        <v>4.61</v>
      </c>
      <c r="L32" s="62" t="n">
        <v>0.256824512534819</v>
      </c>
      <c r="M32" s="63" t="n">
        <v>15</v>
      </c>
      <c r="N32" s="32" t="inlineStr">
        <is>
          <t>Active</t>
        </is>
      </c>
      <c r="O32" s="32" t="n"/>
      <c r="P32" s="64" t="n">
        <v>4.5</v>
      </c>
      <c r="Q32" s="63" t="n">
        <v>1284</v>
      </c>
      <c r="R32" s="63" t="n">
        <v>29169</v>
      </c>
      <c r="S32" s="63"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59" t="n">
        <v>21.95</v>
      </c>
      <c r="H33" s="32" t="inlineStr">
        <is>
          <t>Helium 10 Xray, 2026-10-13</t>
        </is>
      </c>
      <c r="I33" s="60" t="n">
        <v>17.95</v>
      </c>
      <c r="J33" s="61" t="inlineStr">
        <is>
          <t>2026-03-30</t>
        </is>
      </c>
      <c r="K33" s="33" t="n">
        <v>4.910000000000001</v>
      </c>
      <c r="L33" s="62" t="n">
        <v>0.2735376044568246</v>
      </c>
      <c r="M33" s="63" t="n">
        <v>15</v>
      </c>
      <c r="N33" s="32" t="inlineStr">
        <is>
          <t>Active</t>
        </is>
      </c>
      <c r="O33" s="32" t="n"/>
      <c r="P33" s="64" t="n">
        <v>4.5</v>
      </c>
      <c r="Q33" s="63" t="n">
        <v>1284</v>
      </c>
      <c r="R33" s="63" t="n">
        <v>29175</v>
      </c>
      <c r="S33" s="63"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59" t="n">
        <v>20.95</v>
      </c>
      <c r="H34" s="32" t="inlineStr">
        <is>
          <t>Helium 10 Xray, 2026-10-13</t>
        </is>
      </c>
      <c r="I34" s="60" t="n">
        <v>17.95</v>
      </c>
      <c r="J34" s="61" t="inlineStr">
        <is>
          <t>2026-03-30</t>
        </is>
      </c>
      <c r="K34" s="33" t="n">
        <v>5.44</v>
      </c>
      <c r="L34" s="62" t="n">
        <v>0.3030640668523677</v>
      </c>
      <c r="M34" s="63" t="n">
        <v>14</v>
      </c>
      <c r="N34" s="32" t="inlineStr">
        <is>
          <t>Active</t>
        </is>
      </c>
      <c r="O34" s="32" t="n"/>
      <c r="P34" s="64" t="n">
        <v>4.5</v>
      </c>
      <c r="Q34" s="63" t="n">
        <v>1284</v>
      </c>
      <c r="R34" s="63" t="n">
        <v>29169</v>
      </c>
      <c r="S34" s="63"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0" t="n">
        <v>19.95</v>
      </c>
      <c r="J35" s="61" t="inlineStr">
        <is>
          <t>2026-03-30</t>
        </is>
      </c>
      <c r="K35" s="33" t="n">
        <v>5.610000000000002</v>
      </c>
      <c r="L35" s="62" t="n">
        <v>0.2812030075187971</v>
      </c>
      <c r="M35" s="63" t="n">
        <v>14</v>
      </c>
      <c r="N35" s="32" t="inlineStr">
        <is>
          <t>Inactive</t>
        </is>
      </c>
      <c r="O35" s="32" t="n"/>
      <c r="P35" s="64" t="n"/>
      <c r="Q35" s="63" t="n"/>
      <c r="R35" s="63" t="n"/>
      <c r="S35" s="63"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59" t="n">
        <v>20.95</v>
      </c>
      <c r="H36" s="32" t="inlineStr">
        <is>
          <t>Helium 10 Xray, 2026-10-13</t>
        </is>
      </c>
      <c r="I36" s="60" t="n">
        <v>17.95</v>
      </c>
      <c r="J36" s="61" t="inlineStr">
        <is>
          <t>2026-03-30</t>
        </is>
      </c>
      <c r="K36" s="33" t="n">
        <v>5.220000000000001</v>
      </c>
      <c r="L36" s="62" t="n">
        <v>0.290807799442897</v>
      </c>
      <c r="M36" s="63" t="n">
        <v>13</v>
      </c>
      <c r="N36" s="32" t="inlineStr">
        <is>
          <t>Active</t>
        </is>
      </c>
      <c r="O36" s="32" t="n"/>
      <c r="P36" s="64" t="n">
        <v>4.5</v>
      </c>
      <c r="Q36" s="63" t="n">
        <v>1284</v>
      </c>
      <c r="R36" s="63" t="n">
        <v>29169</v>
      </c>
      <c r="S36" s="63"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59" t="n">
        <v>20.95</v>
      </c>
      <c r="H37" s="32" t="inlineStr">
        <is>
          <t>Helium 10 Xray, 2026-10-13</t>
        </is>
      </c>
      <c r="I37" s="60" t="n">
        <v>17.95</v>
      </c>
      <c r="J37" s="61" t="inlineStr">
        <is>
          <t>2026-03-30</t>
        </is>
      </c>
      <c r="K37" s="33" t="n">
        <v>5.259999999999999</v>
      </c>
      <c r="L37" s="62" t="n">
        <v>0.2930362116991643</v>
      </c>
      <c r="M37" s="63" t="n">
        <v>12</v>
      </c>
      <c r="N37" s="32" t="inlineStr">
        <is>
          <t>Active</t>
        </is>
      </c>
      <c r="O37" s="32" t="n"/>
      <c r="P37" s="64" t="n">
        <v>4.5</v>
      </c>
      <c r="Q37" s="63" t="n">
        <v>1284</v>
      </c>
      <c r="R37" s="63" t="n">
        <v>29175</v>
      </c>
      <c r="S37" s="63"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59" t="n">
        <v>20.95</v>
      </c>
      <c r="H38" s="32" t="inlineStr">
        <is>
          <t>Helium 10 Xray, 2026-10-13</t>
        </is>
      </c>
      <c r="I38" s="60" t="n">
        <v>17.95</v>
      </c>
      <c r="J38" s="61" t="inlineStr">
        <is>
          <t>2026-03-30</t>
        </is>
      </c>
      <c r="K38" s="33" t="n">
        <v>5.529999999999999</v>
      </c>
      <c r="L38" s="62" t="n">
        <v>0.3080779944289693</v>
      </c>
      <c r="M38" s="63" t="n">
        <v>11</v>
      </c>
      <c r="N38" s="32" t="inlineStr">
        <is>
          <t>Active</t>
        </is>
      </c>
      <c r="O38" s="32" t="inlineStr">
        <is>
          <t>Yes (11%)</t>
        </is>
      </c>
      <c r="P38" s="64" t="n">
        <v>4.5</v>
      </c>
      <c r="Q38" s="63" t="n">
        <v>1284</v>
      </c>
      <c r="R38" s="63" t="n">
        <v>29169</v>
      </c>
      <c r="S38" s="63"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59" t="n">
        <v>20.95</v>
      </c>
      <c r="H39" s="32" t="inlineStr">
        <is>
          <t>Helium 10 Xray, 2026-10-13</t>
        </is>
      </c>
      <c r="I39" s="60" t="n">
        <v>17.95</v>
      </c>
      <c r="J39" s="61" t="inlineStr">
        <is>
          <t>2026-03-30</t>
        </is>
      </c>
      <c r="K39" s="33" t="n">
        <v>5.609999999999999</v>
      </c>
      <c r="L39" s="62" t="n">
        <v>0.3125348189415041</v>
      </c>
      <c r="M39" s="63" t="n">
        <v>11</v>
      </c>
      <c r="N39" s="32" t="inlineStr">
        <is>
          <t>Active</t>
        </is>
      </c>
      <c r="O39" s="32" t="n"/>
      <c r="P39" s="64" t="n">
        <v>4.5</v>
      </c>
      <c r="Q39" s="63" t="n">
        <v>1284</v>
      </c>
      <c r="R39" s="63" t="n">
        <v>29175</v>
      </c>
      <c r="S39" s="63"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59" t="n">
        <v>22.95</v>
      </c>
      <c r="H40" s="32" t="inlineStr">
        <is>
          <t>Helium 10 Xray, 2026-10-13</t>
        </is>
      </c>
      <c r="I40" s="60" t="n">
        <v>19.95</v>
      </c>
      <c r="J40" s="61" t="inlineStr">
        <is>
          <t>2026-03-30</t>
        </is>
      </c>
      <c r="K40" s="33" t="n">
        <v>5.590000000000002</v>
      </c>
      <c r="L40" s="62" t="n">
        <v>0.2802005012531329</v>
      </c>
      <c r="M40" s="63" t="n">
        <v>11</v>
      </c>
      <c r="N40" s="32" t="inlineStr">
        <is>
          <t>Active</t>
        </is>
      </c>
      <c r="O40" s="32" t="n"/>
      <c r="P40" s="64" t="n">
        <v>4.5</v>
      </c>
      <c r="Q40" s="63" t="n">
        <v>1284</v>
      </c>
      <c r="R40" s="63" t="n">
        <v>29169</v>
      </c>
      <c r="S40" s="63" t="n">
        <v>5</v>
      </c>
      <c r="T40" s="32" t="n"/>
    </row>
    <row r="41" ht="62" customHeight="1">
      <c r="A41" s="10">
        <f>_xlfn.IMAGE("https://m.media-amazon.com/images/I/71TuVlzH09L.jpg")</f>
        <v/>
      </c>
      <c r="B41" s="32" t="inlineStr">
        <is>
          <t>B0DBVY6P25</t>
        </is>
      </c>
      <c r="C41" s="32" t="inlineStr">
        <is>
          <t>SATIN-FITTED-KING-GREY</t>
        </is>
      </c>
      <c r="D41" s="32" t="n"/>
      <c r="E41" s="32" t="inlineStr">
        <is>
          <t>King</t>
        </is>
      </c>
      <c r="F41" s="32" t="inlineStr">
        <is>
          <t>Grey</t>
        </is>
      </c>
      <c r="G41" s="33" t="n"/>
      <c r="H41" s="32" t="n"/>
      <c r="I41" s="60" t="n">
        <v>18.95</v>
      </c>
      <c r="J41" s="61" t="inlineStr">
        <is>
          <t>2026-03-30</t>
        </is>
      </c>
      <c r="K41" s="33" t="n">
        <v>4.699999999999999</v>
      </c>
      <c r="L41" s="62" t="n">
        <v>0.2480211081794195</v>
      </c>
      <c r="M41" s="63" t="n">
        <v>11</v>
      </c>
      <c r="N41" s="32" t="n"/>
      <c r="O41" s="32" t="n"/>
      <c r="P41" s="64" t="n"/>
      <c r="Q41" s="63" t="n"/>
      <c r="R41" s="63" t="n"/>
      <c r="S41" s="63"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59" t="n">
        <v>22.95</v>
      </c>
      <c r="H42" s="32" t="inlineStr">
        <is>
          <t>Helium 10 Xray, 2026-10-13</t>
        </is>
      </c>
      <c r="I42" s="60" t="n">
        <v>19.95</v>
      </c>
      <c r="J42" s="61" t="inlineStr">
        <is>
          <t>2026-03-30</t>
        </is>
      </c>
      <c r="K42" s="33" t="n">
        <v>5.63</v>
      </c>
      <c r="L42" s="62" t="n">
        <v>0.2822055137844612</v>
      </c>
      <c r="M42" s="63" t="n">
        <v>11</v>
      </c>
      <c r="N42" s="32" t="inlineStr">
        <is>
          <t>Active</t>
        </is>
      </c>
      <c r="O42" s="32" t="n"/>
      <c r="P42" s="64" t="n">
        <v>4.5</v>
      </c>
      <c r="Q42" s="63" t="n">
        <v>1284</v>
      </c>
      <c r="R42" s="63" t="n">
        <v>29169</v>
      </c>
      <c r="S42" s="63"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59" t="n">
        <v>22.95</v>
      </c>
      <c r="H43" s="32" t="inlineStr">
        <is>
          <t>Helium 10 Xray, 2026-10-13</t>
        </is>
      </c>
      <c r="I43" s="60" t="n">
        <v>19.95</v>
      </c>
      <c r="J43" s="61" t="inlineStr">
        <is>
          <t>2026-03-30</t>
        </is>
      </c>
      <c r="K43" s="33" t="n">
        <v>5.440000000000002</v>
      </c>
      <c r="L43" s="62" t="n">
        <v>0.2726817042606517</v>
      </c>
      <c r="M43" s="63" t="n">
        <v>11</v>
      </c>
      <c r="N43" s="32" t="inlineStr">
        <is>
          <t>Active</t>
        </is>
      </c>
      <c r="O43" s="32" t="n"/>
      <c r="P43" s="64" t="n">
        <v>4.5</v>
      </c>
      <c r="Q43" s="63" t="n">
        <v>1284</v>
      </c>
      <c r="R43" s="63" t="n">
        <v>29169</v>
      </c>
      <c r="S43" s="63"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59" t="n">
        <v>20.95</v>
      </c>
      <c r="H44" s="32" t="inlineStr">
        <is>
          <t>Helium 10 Xray, 2026-10-13</t>
        </is>
      </c>
      <c r="I44" s="60" t="n">
        <v>17.95</v>
      </c>
      <c r="J44" s="61" t="inlineStr">
        <is>
          <t>2026-03-30</t>
        </is>
      </c>
      <c r="K44" s="33" t="n">
        <v>5.36</v>
      </c>
      <c r="L44" s="62" t="n">
        <v>0.2986072423398329</v>
      </c>
      <c r="M44" s="63" t="n">
        <v>10</v>
      </c>
      <c r="N44" s="32" t="inlineStr">
        <is>
          <t>Active</t>
        </is>
      </c>
      <c r="O44" s="32" t="n"/>
      <c r="P44" s="64" t="n">
        <v>4.5</v>
      </c>
      <c r="Q44" s="63" t="n">
        <v>1284</v>
      </c>
      <c r="R44" s="63" t="n">
        <v>29169</v>
      </c>
      <c r="S44" s="63"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59" t="n">
        <v>22.95</v>
      </c>
      <c r="H45" s="32" t="inlineStr">
        <is>
          <t>Helium 10 Xray, 2026-10-13</t>
        </is>
      </c>
      <c r="I45" s="60" t="n">
        <v>19.95</v>
      </c>
      <c r="J45" s="61" t="inlineStr">
        <is>
          <t>2026-03-30</t>
        </is>
      </c>
      <c r="K45" s="33" t="n">
        <v>5.350000000000001</v>
      </c>
      <c r="L45" s="62" t="n">
        <v>0.268170426065163</v>
      </c>
      <c r="M45" s="63" t="n">
        <v>10</v>
      </c>
      <c r="N45" s="32" t="inlineStr">
        <is>
          <t>Inactive</t>
        </is>
      </c>
      <c r="O45" s="32" t="n"/>
      <c r="P45" s="64" t="n">
        <v>4.5</v>
      </c>
      <c r="Q45" s="63" t="n">
        <v>1284</v>
      </c>
      <c r="R45" s="63" t="n">
        <v>29169</v>
      </c>
      <c r="S45" s="63"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59" t="n">
        <v>22.95</v>
      </c>
      <c r="H46" s="32" t="inlineStr">
        <is>
          <t>Helium 10 Xray, 2026-10-13</t>
        </is>
      </c>
      <c r="I46" s="60" t="n">
        <v>19.95</v>
      </c>
      <c r="J46" s="61" t="inlineStr">
        <is>
          <t>2026-03-30</t>
        </is>
      </c>
      <c r="K46" s="33" t="n">
        <v>5.300000000000002</v>
      </c>
      <c r="L46" s="62" t="n">
        <v>0.2656641604010026</v>
      </c>
      <c r="M46" s="63" t="n">
        <v>10</v>
      </c>
      <c r="N46" s="32" t="inlineStr">
        <is>
          <t>Active</t>
        </is>
      </c>
      <c r="O46" s="32" t="n"/>
      <c r="P46" s="64" t="n">
        <v>4.5</v>
      </c>
      <c r="Q46" s="63" t="n">
        <v>1284</v>
      </c>
      <c r="R46" s="63" t="n">
        <v>29169</v>
      </c>
      <c r="S46" s="63"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0" t="n">
        <v>17.95</v>
      </c>
      <c r="J47" s="61" t="inlineStr">
        <is>
          <t>2026-03-30</t>
        </is>
      </c>
      <c r="K47" s="33" t="n">
        <v>4.869999999999999</v>
      </c>
      <c r="L47" s="62" t="n">
        <v>0.271309192200557</v>
      </c>
      <c r="M47" s="63" t="n">
        <v>10</v>
      </c>
      <c r="N47" s="32" t="inlineStr">
        <is>
          <t>Active</t>
        </is>
      </c>
      <c r="O47" s="32" t="n"/>
      <c r="P47" s="64" t="n"/>
      <c r="Q47" s="63" t="n"/>
      <c r="R47" s="63" t="n"/>
      <c r="S47" s="63"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59" t="n">
        <v>20.95</v>
      </c>
      <c r="H48" s="32" t="inlineStr">
        <is>
          <t>Helium 10 Xray, 2026-10-13</t>
        </is>
      </c>
      <c r="I48" s="60" t="n">
        <v>17.95</v>
      </c>
      <c r="J48" s="61" t="inlineStr">
        <is>
          <t>2026-03-30</t>
        </is>
      </c>
      <c r="K48" s="33" t="n">
        <v>5.09</v>
      </c>
      <c r="L48" s="62" t="n">
        <v>0.2835654596100279</v>
      </c>
      <c r="M48" s="63" t="n">
        <v>9</v>
      </c>
      <c r="N48" s="32" t="inlineStr">
        <is>
          <t>Active</t>
        </is>
      </c>
      <c r="O48" s="32" t="inlineStr">
        <is>
          <t>Yes (13%)</t>
        </is>
      </c>
      <c r="P48" s="64" t="n">
        <v>4.5</v>
      </c>
      <c r="Q48" s="63" t="n">
        <v>1284</v>
      </c>
      <c r="R48" s="63" t="n">
        <v>29169</v>
      </c>
      <c r="S48" s="63"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59" t="n">
        <v>22.95</v>
      </c>
      <c r="H49" s="32" t="inlineStr">
        <is>
          <t>Helium 10 Xray, 2026-10-13</t>
        </is>
      </c>
      <c r="I49" s="60" t="n">
        <v>19.95</v>
      </c>
      <c r="J49" s="61" t="inlineStr">
        <is>
          <t>2026-03-30</t>
        </is>
      </c>
      <c r="K49" s="33" t="n">
        <v>5.94</v>
      </c>
      <c r="L49" s="62" t="n">
        <v>0.2977443609022556</v>
      </c>
      <c r="M49" s="63" t="n">
        <v>9</v>
      </c>
      <c r="N49" s="32" t="inlineStr">
        <is>
          <t>Active</t>
        </is>
      </c>
      <c r="O49" s="32" t="n"/>
      <c r="P49" s="64" t="n">
        <v>4.5</v>
      </c>
      <c r="Q49" s="63" t="n">
        <v>1284</v>
      </c>
      <c r="R49" s="63" t="n">
        <v>29175</v>
      </c>
      <c r="S49" s="63"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59" t="n">
        <v>22.95</v>
      </c>
      <c r="H50" s="32" t="inlineStr">
        <is>
          <t>Helium 10 Xray, 2026-10-13</t>
        </is>
      </c>
      <c r="I50" s="60" t="n">
        <v>19.95</v>
      </c>
      <c r="J50" s="61" t="inlineStr">
        <is>
          <t>2026-03-30</t>
        </is>
      </c>
      <c r="K50" s="33" t="n">
        <v>5.94</v>
      </c>
      <c r="L50" s="62" t="n">
        <v>0.2977443609022556</v>
      </c>
      <c r="M50" s="63" t="n">
        <v>9</v>
      </c>
      <c r="N50" s="32" t="inlineStr">
        <is>
          <t>Active</t>
        </is>
      </c>
      <c r="O50" s="32" t="n"/>
      <c r="P50" s="64" t="n">
        <v>4.5</v>
      </c>
      <c r="Q50" s="63" t="n">
        <v>1284</v>
      </c>
      <c r="R50" s="63" t="n">
        <v>29175</v>
      </c>
      <c r="S50" s="63"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59" t="n">
        <v>19.95</v>
      </c>
      <c r="H51" s="32" t="inlineStr">
        <is>
          <t>Helium 10 Xray, 2026-10-13</t>
        </is>
      </c>
      <c r="I51" s="60" t="n">
        <v>22.95</v>
      </c>
      <c r="J51" s="61" t="inlineStr">
        <is>
          <t>2026-03-30</t>
        </is>
      </c>
      <c r="K51" s="33" t="n">
        <v>10.27</v>
      </c>
      <c r="L51" s="62" t="n">
        <v>0.4474945533769062</v>
      </c>
      <c r="M51" s="63" t="n">
        <v>8</v>
      </c>
      <c r="N51" s="32" t="inlineStr">
        <is>
          <t>Active</t>
        </is>
      </c>
      <c r="O51" s="32" t="n"/>
      <c r="P51" s="64" t="n">
        <v>4.5</v>
      </c>
      <c r="Q51" s="63" t="n">
        <v>1284</v>
      </c>
      <c r="R51" s="63" t="n">
        <v>29169</v>
      </c>
      <c r="S51" s="63"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59" t="n">
        <v>20.95</v>
      </c>
      <c r="H52" s="32" t="inlineStr">
        <is>
          <t>Helium 10 Xray, 2026-10-13</t>
        </is>
      </c>
      <c r="I52" s="60" t="n">
        <v>17.95</v>
      </c>
      <c r="J52" s="61" t="inlineStr">
        <is>
          <t>2026-03-30</t>
        </is>
      </c>
      <c r="K52" s="33" t="n">
        <v>5.290000000000001</v>
      </c>
      <c r="L52" s="62" t="n">
        <v>0.294707520891365</v>
      </c>
      <c r="M52" s="63" t="n">
        <v>7</v>
      </c>
      <c r="N52" s="32" t="inlineStr">
        <is>
          <t>Active</t>
        </is>
      </c>
      <c r="O52" s="32" t="n"/>
      <c r="P52" s="64" t="n">
        <v>4.5</v>
      </c>
      <c r="Q52" s="63" t="n">
        <v>1284</v>
      </c>
      <c r="R52" s="63" t="n">
        <v>29175</v>
      </c>
      <c r="S52" s="63"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0" t="n">
        <v>17.95</v>
      </c>
      <c r="J53" s="61" t="inlineStr">
        <is>
          <t>2026-03-30</t>
        </is>
      </c>
      <c r="K53" s="33" t="n">
        <v>5.289999999999999</v>
      </c>
      <c r="L53" s="62" t="n">
        <v>0.2947075208913649</v>
      </c>
      <c r="M53" s="63" t="n">
        <v>7</v>
      </c>
      <c r="N53" s="32" t="inlineStr">
        <is>
          <t>Active</t>
        </is>
      </c>
      <c r="O53" s="32" t="n"/>
      <c r="P53" s="64" t="n"/>
      <c r="Q53" s="63" t="n"/>
      <c r="R53" s="63" t="n"/>
      <c r="S53" s="63"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59" t="n">
        <v>19.95</v>
      </c>
      <c r="H54" s="32" t="inlineStr">
        <is>
          <t>Helium 10 Xray, 2026-10-13</t>
        </is>
      </c>
      <c r="I54" s="60" t="n">
        <v>22.95</v>
      </c>
      <c r="J54" s="61" t="inlineStr">
        <is>
          <t>2026-03-30</t>
        </is>
      </c>
      <c r="K54" s="33" t="n">
        <v>10.23</v>
      </c>
      <c r="L54" s="62" t="n">
        <v>0.4457516339869281</v>
      </c>
      <c r="M54" s="63" t="n">
        <v>7</v>
      </c>
      <c r="N54" s="32" t="inlineStr">
        <is>
          <t>Active</t>
        </is>
      </c>
      <c r="O54" s="32" t="inlineStr">
        <is>
          <t>Yes (11%)</t>
        </is>
      </c>
      <c r="P54" s="64" t="n">
        <v>4.5</v>
      </c>
      <c r="Q54" s="63" t="n">
        <v>1284</v>
      </c>
      <c r="R54" s="63" t="n">
        <v>29169</v>
      </c>
      <c r="S54" s="63"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59" t="n">
        <v>19.95</v>
      </c>
      <c r="H55" s="32" t="inlineStr">
        <is>
          <t>Helium 10 Xray, 2026-10-13</t>
        </is>
      </c>
      <c r="I55" s="60" t="n">
        <v>22.95</v>
      </c>
      <c r="J55" s="61" t="inlineStr">
        <is>
          <t>2026-03-30</t>
        </is>
      </c>
      <c r="K55" s="33" t="n">
        <v>10.38</v>
      </c>
      <c r="L55" s="62" t="n">
        <v>0.4522875816993464</v>
      </c>
      <c r="M55" s="63" t="n">
        <v>7</v>
      </c>
      <c r="N55" s="32" t="inlineStr">
        <is>
          <t>Active</t>
        </is>
      </c>
      <c r="O55" s="32" t="n"/>
      <c r="P55" s="64" t="n">
        <v>4.5</v>
      </c>
      <c r="Q55" s="63" t="n">
        <v>1284</v>
      </c>
      <c r="R55" s="63" t="n">
        <v>29175</v>
      </c>
      <c r="S55" s="63"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59" t="n">
        <v>20.95</v>
      </c>
      <c r="H56" s="32" t="inlineStr">
        <is>
          <t>Helium 10 Xray, 2026-10-13</t>
        </is>
      </c>
      <c r="I56" s="60" t="n">
        <v>17.95</v>
      </c>
      <c r="J56" s="61" t="inlineStr">
        <is>
          <t>2026-03-30</t>
        </is>
      </c>
      <c r="K56" s="33" t="n">
        <v>5.309999999999999</v>
      </c>
      <c r="L56" s="62" t="n">
        <v>0.2958217270194985</v>
      </c>
      <c r="M56" s="63" t="n">
        <v>6</v>
      </c>
      <c r="N56" s="32" t="inlineStr">
        <is>
          <t>Active</t>
        </is>
      </c>
      <c r="O56" s="32" t="n"/>
      <c r="P56" s="64" t="n">
        <v>4.5</v>
      </c>
      <c r="Q56" s="63" t="n">
        <v>1284</v>
      </c>
      <c r="R56" s="63" t="n">
        <v>29169</v>
      </c>
      <c r="S56" s="63"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59" t="n">
        <v>20.95</v>
      </c>
      <c r="H57" s="32" t="inlineStr">
        <is>
          <t>Helium 10 Xray, 2026-10-13</t>
        </is>
      </c>
      <c r="I57" s="60" t="n">
        <v>17.95</v>
      </c>
      <c r="J57" s="61" t="inlineStr">
        <is>
          <t>2026-03-30</t>
        </is>
      </c>
      <c r="K57" s="33" t="n">
        <v>5.48</v>
      </c>
      <c r="L57" s="62" t="n">
        <v>0.3052924791086351</v>
      </c>
      <c r="M57" s="63" t="n">
        <v>6</v>
      </c>
      <c r="N57" s="32" t="inlineStr">
        <is>
          <t>Active</t>
        </is>
      </c>
      <c r="O57" s="32" t="n"/>
      <c r="P57" s="64" t="n">
        <v>4.5</v>
      </c>
      <c r="Q57" s="63" t="n">
        <v>1284</v>
      </c>
      <c r="R57" s="63" t="n">
        <v>29169</v>
      </c>
      <c r="S57" s="63"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59" t="n">
        <v>20.95</v>
      </c>
      <c r="H58" s="32" t="inlineStr">
        <is>
          <t>Helium 10 Xray, 2026-10-13</t>
        </is>
      </c>
      <c r="I58" s="60" t="n">
        <v>17.95</v>
      </c>
      <c r="J58" s="61" t="inlineStr">
        <is>
          <t>2026-03-30</t>
        </is>
      </c>
      <c r="K58" s="33" t="n">
        <v>4.9</v>
      </c>
      <c r="L58" s="62" t="n">
        <v>0.2729805013927577</v>
      </c>
      <c r="M58" s="63" t="n">
        <v>6</v>
      </c>
      <c r="N58" s="32" t="inlineStr">
        <is>
          <t>Active</t>
        </is>
      </c>
      <c r="O58" s="32" t="n"/>
      <c r="P58" s="64" t="n">
        <v>4.5</v>
      </c>
      <c r="Q58" s="63" t="n">
        <v>1284</v>
      </c>
      <c r="R58" s="63" t="n">
        <v>29169</v>
      </c>
      <c r="S58" s="63"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59" t="n">
        <v>22.95</v>
      </c>
      <c r="H59" s="32" t="inlineStr">
        <is>
          <t>Helium 10 Xray, 2026-10-13</t>
        </is>
      </c>
      <c r="I59" s="60" t="n">
        <v>19.95</v>
      </c>
      <c r="J59" s="61" t="inlineStr">
        <is>
          <t>2026-03-30</t>
        </is>
      </c>
      <c r="K59" s="33" t="n">
        <v>4.68</v>
      </c>
      <c r="L59" s="62" t="n">
        <v>0.2345864661654135</v>
      </c>
      <c r="M59" s="63" t="n">
        <v>6</v>
      </c>
      <c r="N59" s="32" t="inlineStr">
        <is>
          <t>Active</t>
        </is>
      </c>
      <c r="O59" s="32" t="n"/>
      <c r="P59" s="64" t="n">
        <v>4.5</v>
      </c>
      <c r="Q59" s="63" t="n">
        <v>1284</v>
      </c>
      <c r="R59" s="63" t="n">
        <v>29175</v>
      </c>
      <c r="S59" s="63"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59" t="n">
        <v>19.95</v>
      </c>
      <c r="H60" s="32" t="inlineStr">
        <is>
          <t>Helium 10 Xray, 2026-10-13</t>
        </is>
      </c>
      <c r="I60" s="60" t="n">
        <v>22.95</v>
      </c>
      <c r="J60" s="61" t="inlineStr">
        <is>
          <t>2026-03-30</t>
        </is>
      </c>
      <c r="K60" s="33" t="n">
        <v>10.38</v>
      </c>
      <c r="L60" s="62" t="n">
        <v>0.4522875816993464</v>
      </c>
      <c r="M60" s="63" t="n">
        <v>6</v>
      </c>
      <c r="N60" s="32" t="inlineStr">
        <is>
          <t>Active</t>
        </is>
      </c>
      <c r="O60" s="32" t="n"/>
      <c r="P60" s="64" t="n">
        <v>4.5</v>
      </c>
      <c r="Q60" s="63" t="n">
        <v>1284</v>
      </c>
      <c r="R60" s="63" t="n">
        <v>29175</v>
      </c>
      <c r="S60" s="63"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59" t="n">
        <v>20.95</v>
      </c>
      <c r="H61" s="32" t="inlineStr">
        <is>
          <t>Helium 10 Xray, 2026-10-13</t>
        </is>
      </c>
      <c r="I61" s="60" t="n">
        <v>17.95</v>
      </c>
      <c r="J61" s="61" t="inlineStr">
        <is>
          <t>2026-03-30</t>
        </is>
      </c>
      <c r="K61" s="33" t="n">
        <v>5.299999999999999</v>
      </c>
      <c r="L61" s="62" t="n">
        <v>0.2952646239554317</v>
      </c>
      <c r="M61" s="63" t="n">
        <v>5</v>
      </c>
      <c r="N61" s="32" t="inlineStr">
        <is>
          <t>Active</t>
        </is>
      </c>
      <c r="O61" s="32" t="n"/>
      <c r="P61" s="64" t="n">
        <v>4.5</v>
      </c>
      <c r="Q61" s="63" t="n">
        <v>1284</v>
      </c>
      <c r="R61" s="63" t="n">
        <v>29169</v>
      </c>
      <c r="S61" s="63"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59" t="n">
        <v>19.95</v>
      </c>
      <c r="H62" s="32" t="inlineStr">
        <is>
          <t>Helium 10 Xray, 2026-10-13</t>
        </is>
      </c>
      <c r="I62" s="60" t="n">
        <v>16.95</v>
      </c>
      <c r="J62" s="61" t="inlineStr">
        <is>
          <t>2026-03-30</t>
        </is>
      </c>
      <c r="K62" s="33" t="n">
        <v>5.290000000000001</v>
      </c>
      <c r="L62" s="62" t="n">
        <v>0.3120943952802361</v>
      </c>
      <c r="M62" s="63" t="n">
        <v>5</v>
      </c>
      <c r="N62" s="32" t="inlineStr">
        <is>
          <t>Active</t>
        </is>
      </c>
      <c r="O62" s="32" t="n"/>
      <c r="P62" s="64" t="n">
        <v>4.5</v>
      </c>
      <c r="Q62" s="63" t="n">
        <v>1284</v>
      </c>
      <c r="R62" s="63" t="n">
        <v>29175</v>
      </c>
      <c r="S62" s="63"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59" t="n">
        <v>19.95</v>
      </c>
      <c r="H63" s="32" t="inlineStr">
        <is>
          <t>Helium 10 Xray, 2026-10-13</t>
        </is>
      </c>
      <c r="I63" s="60" t="n">
        <v>22.95</v>
      </c>
      <c r="J63" s="61" t="inlineStr">
        <is>
          <t>2026-03-30</t>
        </is>
      </c>
      <c r="K63" s="33" t="n">
        <v>10.75</v>
      </c>
      <c r="L63" s="62" t="n">
        <v>0.4684095860566448</v>
      </c>
      <c r="M63" s="63" t="n">
        <v>5</v>
      </c>
      <c r="N63" s="32" t="inlineStr">
        <is>
          <t>Active</t>
        </is>
      </c>
      <c r="O63" s="32" t="n"/>
      <c r="P63" s="64" t="n">
        <v>4.5</v>
      </c>
      <c r="Q63" s="63" t="n">
        <v>1284</v>
      </c>
      <c r="R63" s="63" t="n">
        <v>29169</v>
      </c>
      <c r="S63" s="63"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0" t="n">
        <v>17.95</v>
      </c>
      <c r="J64" s="61" t="inlineStr">
        <is>
          <t>2026-03-30</t>
        </is>
      </c>
      <c r="K64" s="33" t="n">
        <v>4.75</v>
      </c>
      <c r="L64" s="62" t="n">
        <v>0.2646239554317549</v>
      </c>
      <c r="M64" s="63" t="n">
        <v>4</v>
      </c>
      <c r="N64" s="32" t="inlineStr">
        <is>
          <t>Inactive</t>
        </is>
      </c>
      <c r="O64" s="32" t="n"/>
      <c r="P64" s="64" t="n"/>
      <c r="Q64" s="63" t="n"/>
      <c r="R64" s="63" t="n"/>
      <c r="S64" s="63"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59" t="n">
        <v>19.95</v>
      </c>
      <c r="H65" s="32" t="inlineStr">
        <is>
          <t>Helium 10 Xray, 2026-10-13</t>
        </is>
      </c>
      <c r="I65" s="60" t="n">
        <v>16.95</v>
      </c>
      <c r="J65" s="61" t="inlineStr">
        <is>
          <t>2026-03-30</t>
        </is>
      </c>
      <c r="K65" s="33" t="n">
        <v>5.42</v>
      </c>
      <c r="L65" s="62" t="n">
        <v>0.3197640117994101</v>
      </c>
      <c r="M65" s="63" t="n">
        <v>4</v>
      </c>
      <c r="N65" s="32" t="inlineStr">
        <is>
          <t>Active</t>
        </is>
      </c>
      <c r="O65" s="32" t="n"/>
      <c r="P65" s="64" t="n">
        <v>4.5</v>
      </c>
      <c r="Q65" s="63" t="n">
        <v>1284</v>
      </c>
      <c r="R65" s="63" t="n">
        <v>29169</v>
      </c>
      <c r="S65" s="63"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59" t="n">
        <v>19.95</v>
      </c>
      <c r="H66" s="32" t="inlineStr">
        <is>
          <t>Helium 10 Xray, 2026-10-13</t>
        </is>
      </c>
      <c r="I66" s="60" t="n">
        <v>16.95</v>
      </c>
      <c r="J66" s="61" t="inlineStr">
        <is>
          <t>2026-03-30</t>
        </is>
      </c>
      <c r="K66" s="33" t="n">
        <v>4.920000000000002</v>
      </c>
      <c r="L66" s="62" t="n">
        <v>0.2902654867256638</v>
      </c>
      <c r="M66" s="63" t="n">
        <v>4</v>
      </c>
      <c r="N66" s="32" t="inlineStr">
        <is>
          <t>Active</t>
        </is>
      </c>
      <c r="O66" s="32" t="n"/>
      <c r="P66" s="64" t="n">
        <v>4.5</v>
      </c>
      <c r="Q66" s="63" t="n">
        <v>1284</v>
      </c>
      <c r="R66" s="63" t="n">
        <v>29169</v>
      </c>
      <c r="S66" s="63"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59" t="n">
        <v>19.95</v>
      </c>
      <c r="H67" s="32" t="inlineStr">
        <is>
          <t>Helium 10 Xray, 2026-10-13</t>
        </is>
      </c>
      <c r="I67" s="60" t="n">
        <v>22.95</v>
      </c>
      <c r="J67" s="61" t="inlineStr">
        <is>
          <t>2026-03-30</t>
        </is>
      </c>
      <c r="K67" s="33" t="n">
        <v>9.329999999999998</v>
      </c>
      <c r="L67" s="62" t="n">
        <v>0.4065359477124183</v>
      </c>
      <c r="M67" s="63" t="n">
        <v>4</v>
      </c>
      <c r="N67" s="32" t="inlineStr">
        <is>
          <t>Active</t>
        </is>
      </c>
      <c r="O67" s="32" t="n"/>
      <c r="P67" s="64" t="n">
        <v>4.5</v>
      </c>
      <c r="Q67" s="63" t="n">
        <v>1284</v>
      </c>
      <c r="R67" s="63" t="n">
        <v>29169</v>
      </c>
      <c r="S67" s="63"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59" t="n">
        <v>19.95</v>
      </c>
      <c r="H68" s="32" t="inlineStr">
        <is>
          <t>Helium 10 Xray, 2026-10-13</t>
        </is>
      </c>
      <c r="I68" s="60" t="n">
        <v>22.95</v>
      </c>
      <c r="J68" s="61" t="inlineStr">
        <is>
          <t>2026-03-30</t>
        </is>
      </c>
      <c r="K68" s="33" t="n">
        <v>10.38</v>
      </c>
      <c r="L68" s="62" t="n">
        <v>0.4522875816993464</v>
      </c>
      <c r="M68" s="63" t="n">
        <v>4</v>
      </c>
      <c r="N68" s="32" t="inlineStr">
        <is>
          <t>Active</t>
        </is>
      </c>
      <c r="O68" s="32" t="n"/>
      <c r="P68" s="64" t="n">
        <v>4.5</v>
      </c>
      <c r="Q68" s="63" t="n">
        <v>1284</v>
      </c>
      <c r="R68" s="63" t="n">
        <v>29169</v>
      </c>
      <c r="S68" s="63"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59" t="n">
        <v>20.95</v>
      </c>
      <c r="H69" s="32" t="inlineStr">
        <is>
          <t>Helium 10 Xray, 2026-10-13</t>
        </is>
      </c>
      <c r="I69" s="60" t="n">
        <v>17.95</v>
      </c>
      <c r="J69" s="61" t="inlineStr">
        <is>
          <t>2026-03-30</t>
        </is>
      </c>
      <c r="K69" s="33" t="n">
        <v>4.670000000000001</v>
      </c>
      <c r="L69" s="62" t="n">
        <v>0.2601671309192201</v>
      </c>
      <c r="M69" s="63" t="n">
        <v>3</v>
      </c>
      <c r="N69" s="32" t="inlineStr">
        <is>
          <t>Active</t>
        </is>
      </c>
      <c r="O69" s="32" t="n"/>
      <c r="P69" s="64" t="n">
        <v>4.5</v>
      </c>
      <c r="Q69" s="63" t="n">
        <v>1284</v>
      </c>
      <c r="R69" s="63" t="n">
        <v>29169</v>
      </c>
      <c r="S69" s="63"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0" t="n">
        <v>17.95</v>
      </c>
      <c r="J70" s="61" t="inlineStr">
        <is>
          <t>2026-03-30</t>
        </is>
      </c>
      <c r="K70" s="33" t="n">
        <v>4.31</v>
      </c>
      <c r="L70" s="62" t="n">
        <v>0.2401114206128133</v>
      </c>
      <c r="M70" s="63" t="n">
        <v>3</v>
      </c>
      <c r="N70" s="32" t="inlineStr">
        <is>
          <t>Inactive</t>
        </is>
      </c>
      <c r="O70" s="32" t="n"/>
      <c r="P70" s="64" t="n"/>
      <c r="Q70" s="63" t="n"/>
      <c r="R70" s="63" t="n"/>
      <c r="S70" s="63"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59" t="n">
        <v>19.95</v>
      </c>
      <c r="H71" s="32" t="inlineStr">
        <is>
          <t>Helium 10 Xray, 2026-10-13</t>
        </is>
      </c>
      <c r="I71" s="60" t="n">
        <v>16.95</v>
      </c>
      <c r="J71" s="61" t="inlineStr">
        <is>
          <t>2026-03-30</t>
        </is>
      </c>
      <c r="K71" s="33" t="n">
        <v>3.590000000000002</v>
      </c>
      <c r="L71" s="62" t="n">
        <v>0.2117994100294986</v>
      </c>
      <c r="M71" s="63" t="n">
        <v>3</v>
      </c>
      <c r="N71" s="32" t="inlineStr">
        <is>
          <t>Active</t>
        </is>
      </c>
      <c r="O71" s="32" t="n"/>
      <c r="P71" s="64" t="n">
        <v>4.5</v>
      </c>
      <c r="Q71" s="63" t="n">
        <v>1284</v>
      </c>
      <c r="R71" s="63" t="n">
        <v>29169</v>
      </c>
      <c r="S71" s="63"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59" t="n">
        <v>19.95</v>
      </c>
      <c r="H72" s="32" t="inlineStr">
        <is>
          <t>Helium 10 Xray, 2026-10-13</t>
        </is>
      </c>
      <c r="I72" s="60" t="n">
        <v>22.95</v>
      </c>
      <c r="J72" s="61" t="inlineStr">
        <is>
          <t>2026-03-30</t>
        </is>
      </c>
      <c r="K72" s="33" t="n">
        <v>10.53</v>
      </c>
      <c r="L72" s="62" t="n">
        <v>0.4588235294117646</v>
      </c>
      <c r="M72" s="63" t="n">
        <v>3</v>
      </c>
      <c r="N72" s="32" t="inlineStr">
        <is>
          <t>Active</t>
        </is>
      </c>
      <c r="O72" s="32" t="n"/>
      <c r="P72" s="64" t="n">
        <v>4.5</v>
      </c>
      <c r="Q72" s="63" t="n">
        <v>1284</v>
      </c>
      <c r="R72" s="63" t="n">
        <v>29169</v>
      </c>
      <c r="S72" s="63"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59" t="n">
        <v>19.95</v>
      </c>
      <c r="H73" s="32" t="inlineStr">
        <is>
          <t>Helium 10 Xray, 2026-10-13</t>
        </is>
      </c>
      <c r="I73" s="60" t="n">
        <v>15.36</v>
      </c>
      <c r="J73" s="61" t="inlineStr">
        <is>
          <t>2026-03-30</t>
        </is>
      </c>
      <c r="K73" s="33" t="n">
        <v>3.129999999999999</v>
      </c>
      <c r="L73" s="62" t="n">
        <v>0.2037760416666666</v>
      </c>
      <c r="M73" s="63" t="n">
        <v>3</v>
      </c>
      <c r="N73" s="32" t="inlineStr">
        <is>
          <t>Active</t>
        </is>
      </c>
      <c r="O73" s="32" t="n"/>
      <c r="P73" s="64" t="n">
        <v>4.5</v>
      </c>
      <c r="Q73" s="63" t="n">
        <v>1284</v>
      </c>
      <c r="R73" s="63" t="n">
        <v>29169</v>
      </c>
      <c r="S73" s="63"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59" t="n">
        <v>20.95</v>
      </c>
      <c r="H74" s="32" t="inlineStr">
        <is>
          <t>Helium 10 Xray, 2026-10-13</t>
        </is>
      </c>
      <c r="I74" s="60" t="n">
        <v>17.95</v>
      </c>
      <c r="J74" s="61" t="inlineStr">
        <is>
          <t>2026-03-30</t>
        </is>
      </c>
      <c r="K74" s="33" t="n">
        <v>5.499999999999999</v>
      </c>
      <c r="L74" s="62" t="n">
        <v>0.3064066852367688</v>
      </c>
      <c r="M74" s="63" t="n">
        <v>2</v>
      </c>
      <c r="N74" s="32" t="inlineStr">
        <is>
          <t>Active</t>
        </is>
      </c>
      <c r="O74" s="32" t="inlineStr">
        <is>
          <t>Yes (10%)</t>
        </is>
      </c>
      <c r="P74" s="64" t="n">
        <v>4.5</v>
      </c>
      <c r="Q74" s="63" t="n">
        <v>1284</v>
      </c>
      <c r="R74" s="63" t="n">
        <v>29169</v>
      </c>
      <c r="S74" s="63"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59" t="n">
        <v>19.95</v>
      </c>
      <c r="H75" s="32" t="inlineStr">
        <is>
          <t>Helium 10 Xray, 2026-10-13</t>
        </is>
      </c>
      <c r="I75" s="60" t="n">
        <v>16.95</v>
      </c>
      <c r="J75" s="61" t="inlineStr">
        <is>
          <t>2026-03-30</t>
        </is>
      </c>
      <c r="K75" s="33" t="n">
        <v>5.42</v>
      </c>
      <c r="L75" s="62" t="n">
        <v>0.3197640117994101</v>
      </c>
      <c r="M75" s="63" t="n">
        <v>2</v>
      </c>
      <c r="N75" s="32" t="inlineStr">
        <is>
          <t>Active</t>
        </is>
      </c>
      <c r="O75" s="32" t="n"/>
      <c r="P75" s="64" t="n">
        <v>4.5</v>
      </c>
      <c r="Q75" s="63" t="n">
        <v>1284</v>
      </c>
      <c r="R75" s="63" t="n">
        <v>29169</v>
      </c>
      <c r="S75" s="63" t="n">
        <v>14</v>
      </c>
      <c r="T75" s="32" t="n"/>
    </row>
    <row r="76" ht="62" customHeight="1">
      <c r="A76" s="10">
        <f>_xlfn.IMAGE("https://m.media-amazon.com/images/I/81oKLEMiMUL.jpg")</f>
        <v/>
      </c>
      <c r="B76" s="32" t="inlineStr">
        <is>
          <t>B0DBVZBSHL</t>
        </is>
      </c>
      <c r="C76" s="32" t="inlineStr">
        <is>
          <t>SATIN-FITTED-KING-SEA-TEAL</t>
        </is>
      </c>
      <c r="D76" s="32" t="n"/>
      <c r="E76" s="32" t="inlineStr">
        <is>
          <t>King</t>
        </is>
      </c>
      <c r="F76" s="32" t="inlineStr">
        <is>
          <t>Sea Teal</t>
        </is>
      </c>
      <c r="G76" s="33" t="n"/>
      <c r="H76" s="32" t="n"/>
      <c r="I76" s="60" t="n">
        <v>19.95</v>
      </c>
      <c r="J76" s="61" t="inlineStr">
        <is>
          <t>2026-03-30</t>
        </is>
      </c>
      <c r="K76" s="33" t="n">
        <v>5.56</v>
      </c>
      <c r="L76" s="62" t="n">
        <v>0.2786967418546366</v>
      </c>
      <c r="M76" s="63" t="n">
        <v>1</v>
      </c>
      <c r="N76" s="32" t="n"/>
      <c r="O76" s="32" t="n"/>
      <c r="P76" s="64" t="n"/>
      <c r="Q76" s="63" t="n"/>
      <c r="R76" s="63" t="n"/>
      <c r="S76" s="63"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0" t="n">
        <v>17.95</v>
      </c>
      <c r="J77" s="61" t="inlineStr">
        <is>
          <t>2026-03-30</t>
        </is>
      </c>
      <c r="K77" s="33" t="n">
        <v>4.659999999999999</v>
      </c>
      <c r="L77" s="62" t="n">
        <v>0.2596100278551532</v>
      </c>
      <c r="M77" s="63" t="n">
        <v>1</v>
      </c>
      <c r="N77" s="32" t="inlineStr">
        <is>
          <t>Inactive</t>
        </is>
      </c>
      <c r="O77" s="32" t="n"/>
      <c r="P77" s="64" t="n"/>
      <c r="Q77" s="63" t="n"/>
      <c r="R77" s="63" t="n"/>
      <c r="S77" s="63"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0" t="n">
        <v>17.95</v>
      </c>
      <c r="J78" s="61" t="inlineStr">
        <is>
          <t>2026-03-30</t>
        </is>
      </c>
      <c r="K78" s="33" t="n">
        <v>5.569999999999999</v>
      </c>
      <c r="L78" s="62" t="n">
        <v>0.3103064066852367</v>
      </c>
      <c r="M78" s="63" t="n"/>
      <c r="N78" s="32" t="inlineStr">
        <is>
          <t>Inactive</t>
        </is>
      </c>
      <c r="O78" s="32" t="n"/>
      <c r="P78" s="64" t="n"/>
      <c r="Q78" s="63" t="n"/>
      <c r="R78" s="63" t="n"/>
      <c r="S78" s="63"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0" t="n">
        <v>17.95</v>
      </c>
      <c r="J79" s="61" t="inlineStr">
        <is>
          <t>2026-03-30</t>
        </is>
      </c>
      <c r="K79" s="33" t="n">
        <v>5.599999999999999</v>
      </c>
      <c r="L79" s="62" t="n">
        <v>0.3119777158774373</v>
      </c>
      <c r="M79" s="63" t="n"/>
      <c r="N79" s="32" t="inlineStr">
        <is>
          <t>Inactive</t>
        </is>
      </c>
      <c r="O79" s="32" t="n"/>
      <c r="P79" s="64" t="n"/>
      <c r="Q79" s="63" t="n"/>
      <c r="R79" s="63" t="n"/>
      <c r="S79" s="63" t="n"/>
      <c r="T79" s="32" t="n"/>
    </row>
    <row r="80" ht="62" customHeight="1">
      <c r="A80" s="10">
        <f>_xlfn.IMAGE("https://m.media-amazon.com/images/I/812QjIl2c0L.jpg")</f>
        <v/>
      </c>
      <c r="B80" s="32" t="inlineStr">
        <is>
          <t>B0DBVY2YWN</t>
        </is>
      </c>
      <c r="C80" s="32" t="inlineStr">
        <is>
          <t>SATIN-FITTED-KING-BABY-BLUE</t>
        </is>
      </c>
      <c r="D80" s="32" t="n"/>
      <c r="E80" s="32" t="inlineStr">
        <is>
          <t>King</t>
        </is>
      </c>
      <c r="F80" s="32" t="inlineStr">
        <is>
          <t>Baby Blue</t>
        </is>
      </c>
      <c r="G80" s="33" t="n"/>
      <c r="H80" s="32" t="n"/>
      <c r="I80" s="60" t="n">
        <v>19.95</v>
      </c>
      <c r="J80" s="61" t="inlineStr">
        <is>
          <t>2026-03-30</t>
        </is>
      </c>
      <c r="K80" s="33" t="n">
        <v>5.680000000000002</v>
      </c>
      <c r="L80" s="62" t="n">
        <v>0.2847117794486217</v>
      </c>
      <c r="M80" s="63" t="n"/>
      <c r="N80" s="32" t="n"/>
      <c r="O80" s="32" t="n"/>
      <c r="P80" s="64" t="n"/>
      <c r="Q80" s="63" t="n"/>
      <c r="R80" s="63" t="n"/>
      <c r="S80" s="63"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0" t="n">
        <v>24.95</v>
      </c>
      <c r="J81" s="61" t="inlineStr">
        <is>
          <t>2026-03-30</t>
        </is>
      </c>
      <c r="K81" s="33" t="n">
        <v>10.35</v>
      </c>
      <c r="L81" s="62" t="n">
        <v>0.4148296593186374</v>
      </c>
      <c r="M81" s="63" t="n">
        <v>0</v>
      </c>
      <c r="N81" s="32" t="inlineStr">
        <is>
          <t>Inactive</t>
        </is>
      </c>
      <c r="O81" s="32" t="n"/>
      <c r="P81" s="64" t="n"/>
      <c r="Q81" s="63" t="n"/>
      <c r="R81" s="63" t="n"/>
      <c r="S81" s="63"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0" t="n">
        <v>17.95</v>
      </c>
      <c r="J82" s="61" t="inlineStr">
        <is>
          <t>2026-03-30</t>
        </is>
      </c>
      <c r="K82" s="33" t="n">
        <v>4.29</v>
      </c>
      <c r="L82" s="62" t="n">
        <v>0.2389972144846797</v>
      </c>
      <c r="M82" s="63" t="n">
        <v>0</v>
      </c>
      <c r="N82" s="32" t="inlineStr">
        <is>
          <t>Inactive</t>
        </is>
      </c>
      <c r="O82" s="32" t="n"/>
      <c r="P82" s="64" t="n"/>
      <c r="Q82" s="63" t="n"/>
      <c r="R82" s="63" t="n"/>
      <c r="S82" s="63"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0" t="n">
        <v>16.95</v>
      </c>
      <c r="J83" s="61" t="inlineStr">
        <is>
          <t>2026-03-30</t>
        </is>
      </c>
      <c r="K83" s="33" t="n">
        <v>5.02</v>
      </c>
      <c r="L83" s="62" t="n">
        <v>0.2961651917404129</v>
      </c>
      <c r="M83" s="63" t="n">
        <v>0</v>
      </c>
      <c r="N83" s="32" t="inlineStr">
        <is>
          <t>Inactive</t>
        </is>
      </c>
      <c r="O83" s="32" t="n"/>
      <c r="P83" s="64" t="n"/>
      <c r="Q83" s="63" t="n"/>
      <c r="R83" s="63" t="n"/>
      <c r="S83" s="63"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59" t="n">
        <v>19.95</v>
      </c>
      <c r="H84" s="32" t="inlineStr">
        <is>
          <t>Helium 10 Xray, 2026-10-13</t>
        </is>
      </c>
      <c r="I84" s="60" t="n">
        <v>16.95</v>
      </c>
      <c r="J84" s="61" t="inlineStr">
        <is>
          <t>2026-03-30</t>
        </is>
      </c>
      <c r="K84" s="33" t="n">
        <v>4.23</v>
      </c>
      <c r="L84" s="62" t="n">
        <v>0.2495575221238938</v>
      </c>
      <c r="M84" s="63" t="n">
        <v>0</v>
      </c>
      <c r="N84" s="32" t="inlineStr">
        <is>
          <t>Active</t>
        </is>
      </c>
      <c r="O84" s="32" t="n"/>
      <c r="P84" s="64" t="n">
        <v>4.5</v>
      </c>
      <c r="Q84" s="63" t="n">
        <v>1284</v>
      </c>
      <c r="R84" s="63" t="n">
        <v>29175</v>
      </c>
      <c r="S84" s="63"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0" t="n">
        <v>16.95</v>
      </c>
      <c r="J85" s="61" t="inlineStr">
        <is>
          <t>2026-03-30</t>
        </is>
      </c>
      <c r="K85" s="33" t="n">
        <v>4.97</v>
      </c>
      <c r="L85" s="62" t="n">
        <v>0.2932153392330383</v>
      </c>
      <c r="M85" s="63" t="n"/>
      <c r="N85" s="32" t="inlineStr">
        <is>
          <t>Inactive</t>
        </is>
      </c>
      <c r="O85" s="32" t="n"/>
      <c r="P85" s="64" t="n"/>
      <c r="Q85" s="63" t="n"/>
      <c r="R85" s="63" t="n"/>
      <c r="S85" s="63" t="n"/>
      <c r="T85" s="32" t="n"/>
    </row>
    <row r="87" ht="20" customHeight="1">
      <c r="A87" s="53" t="inlineStr">
        <is>
          <t>3 · OUR BFCM 2025 RESULT &amp; EVENT VISIBILITY</t>
        </is>
      </c>
    </row>
    <row r="88">
      <c r="A88" s="66" t="inlineStr">
        <is>
          <t>Window</t>
        </is>
      </c>
      <c r="B88" s="67" t="n"/>
      <c r="C88" s="68" t="n"/>
      <c r="D88" s="66" t="inlineStr">
        <is>
          <t>Ad spend</t>
        </is>
      </c>
      <c r="E88" s="66" t="inlineStr">
        <is>
          <t>Ad sales</t>
        </is>
      </c>
      <c r="F88" s="66" t="inlineStr">
        <is>
          <t>ACoS</t>
        </is>
      </c>
      <c r="G88" s="66" t="inlineStr">
        <is>
          <t>TACoS</t>
        </is>
      </c>
      <c r="H88" s="66" t="inlineStr">
        <is>
          <t>Total sales (derived)</t>
        </is>
      </c>
      <c r="J88" s="66" t="inlineStr">
        <is>
          <t>Ad orders</t>
        </is>
      </c>
      <c r="K88" s="66" t="inlineStr">
        <is>
          <t>CVR</t>
        </is>
      </c>
    </row>
    <row r="89">
      <c r="A89" s="69" t="inlineStr">
        <is>
          <t>Pre-event Oct 21 - Nov 19, 2025 (30d)</t>
        </is>
      </c>
      <c r="B89" s="67" t="n"/>
      <c r="C89" s="68" t="n"/>
      <c r="D89" s="70" t="n">
        <v>3357.949999999999</v>
      </c>
      <c r="E89" s="70" t="n">
        <v>7988.920000000001</v>
      </c>
      <c r="F89" s="71" t="n">
        <v>42</v>
      </c>
      <c r="G89" s="71" t="n">
        <v>11.19059283031569</v>
      </c>
      <c r="H89" s="70" t="n">
        <v>30006.9</v>
      </c>
      <c r="J89" s="72" t="n">
        <v>409</v>
      </c>
      <c r="K89" s="73" t="n">
        <v>15.63</v>
      </c>
    </row>
    <row r="90">
      <c r="A90" s="69" t="inlineStr">
        <is>
          <t>BFCM week Nov 20 - Dec 1, 2025 (12d)</t>
        </is>
      </c>
      <c r="B90" s="67" t="n"/>
      <c r="C90" s="68" t="n"/>
      <c r="D90" s="70" t="n">
        <v>2307.02</v>
      </c>
      <c r="E90" s="70" t="n">
        <v>6578.82</v>
      </c>
      <c r="F90" s="71" t="n">
        <v>35.1</v>
      </c>
      <c r="G90" s="71" t="n">
        <v>7.783778166607172</v>
      </c>
      <c r="H90" s="70" t="n">
        <v>29638.82</v>
      </c>
      <c r="J90" s="72" t="n">
        <v>387</v>
      </c>
      <c r="K90" s="73" t="n">
        <v>21.07</v>
      </c>
    </row>
    <row r="91">
      <c r="A91" s="69" t="inlineStr">
        <is>
          <t>December 2 - 31, 2025 (30d)</t>
        </is>
      </c>
      <c r="B91" s="67" t="n"/>
      <c r="C91" s="68" t="n"/>
      <c r="D91" s="70" t="n">
        <v>5470.020000000001</v>
      </c>
      <c r="E91" s="70" t="n">
        <v>14753.19</v>
      </c>
      <c r="F91" s="71" t="n">
        <v>37.1</v>
      </c>
      <c r="G91" s="71" t="n">
        <v>12.03836770014319</v>
      </c>
      <c r="H91" s="70" t="n">
        <v>45438.22</v>
      </c>
      <c r="J91" s="72" t="n">
        <v>724</v>
      </c>
      <c r="K91" s="73" t="n">
        <v>16.65</v>
      </c>
    </row>
    <row r="93">
      <c r="A93" s="66" t="inlineStr">
        <is>
          <t>Actual sales (SellerBoard)</t>
        </is>
      </c>
      <c r="B93" s="67" t="n"/>
      <c r="C93" s="68" t="n"/>
      <c r="D93" s="66" t="inlineStr">
        <is>
          <t>Sales</t>
        </is>
      </c>
      <c r="E93" s="66" t="inlineStr">
        <is>
          <t>Units</t>
        </is>
      </c>
      <c r="F93" s="66" t="inlineStr">
        <is>
          <t>Organic units</t>
        </is>
      </c>
      <c r="G93" s="66" t="inlineStr">
        <is>
          <t>Ad units</t>
        </is>
      </c>
      <c r="H93" s="66" t="inlineStr">
        <is>
          <t>Ad cost</t>
        </is>
      </c>
      <c r="J93" s="66" t="inlineStr">
        <is>
          <t>TACoS (actual)</t>
        </is>
      </c>
      <c r="K93" s="66" t="inlineStr">
        <is>
          <t>Sessions</t>
        </is>
      </c>
      <c r="L93" s="66" t="inlineStr">
        <is>
          <t>Unit session %</t>
        </is>
      </c>
      <c r="M93" s="66" t="inlineStr">
        <is>
          <t>Avg price</t>
        </is>
      </c>
      <c r="N93" s="66" t="inlineStr">
        <is>
          <t>Refunds</t>
        </is>
      </c>
    </row>
    <row r="94">
      <c r="A94" s="69" t="inlineStr">
        <is>
          <t>Pre-event Oct 21 - Nov 19, 2025 (30d)</t>
        </is>
      </c>
      <c r="B94" s="67" t="n"/>
      <c r="C94" s="68" t="n"/>
      <c r="D94" s="70" t="n">
        <v>30006.9</v>
      </c>
      <c r="E94" s="72" t="n">
        <v>1630</v>
      </c>
      <c r="F94" s="72" t="n">
        <v>1538</v>
      </c>
      <c r="G94" s="72" t="n">
        <v>92</v>
      </c>
      <c r="H94" s="70" t="n">
        <v>3372.27</v>
      </c>
      <c r="J94" s="74" t="n">
        <v>0.1123831518750687</v>
      </c>
      <c r="K94" s="72" t="n">
        <v>17028</v>
      </c>
      <c r="L94" s="74" t="n">
        <v>0.09572468874794456</v>
      </c>
      <c r="M94" s="75" t="n">
        <v>18.40914110429448</v>
      </c>
      <c r="N94" s="72" t="n">
        <v>95</v>
      </c>
    </row>
    <row r="95">
      <c r="A95" s="69" t="inlineStr">
        <is>
          <t>BFCM week Nov 20 - Dec 1, 2025 (12d)</t>
        </is>
      </c>
      <c r="B95" s="67" t="n"/>
      <c r="C95" s="68" t="n"/>
      <c r="D95" s="70" t="n">
        <v>29638.82</v>
      </c>
      <c r="E95" s="72" t="n">
        <v>1910</v>
      </c>
      <c r="F95" s="72" t="n">
        <v>1831</v>
      </c>
      <c r="G95" s="72" t="n">
        <v>79</v>
      </c>
      <c r="H95" s="70" t="n">
        <v>2317.83</v>
      </c>
      <c r="J95" s="74" t="n">
        <v>0.07820250603768976</v>
      </c>
      <c r="K95" s="72" t="n">
        <v>18981</v>
      </c>
      <c r="L95" s="74" t="n">
        <v>0.1006269427322059</v>
      </c>
      <c r="M95" s="75" t="n">
        <v>15.51770680628272</v>
      </c>
      <c r="N95" s="72" t="n">
        <v>35</v>
      </c>
    </row>
    <row r="96">
      <c r="A96" s="69" t="inlineStr">
        <is>
          <t>December 2 - 31, 2025 (30d)</t>
        </is>
      </c>
      <c r="B96" s="67" t="n"/>
      <c r="C96" s="68" t="n"/>
      <c r="D96" s="70" t="n">
        <v>45438.22</v>
      </c>
      <c r="E96" s="72" t="n">
        <v>2466</v>
      </c>
      <c r="F96" s="72" t="n">
        <v>2306</v>
      </c>
      <c r="G96" s="72" t="n">
        <v>160</v>
      </c>
      <c r="H96" s="70" t="n">
        <v>5539.42</v>
      </c>
      <c r="J96" s="74" t="n">
        <v>0.1219110255639415</v>
      </c>
      <c r="K96" s="72" t="n">
        <v>24008</v>
      </c>
      <c r="L96" s="74" t="n">
        <v>0.1027157614128624</v>
      </c>
      <c r="M96" s="75" t="n">
        <v>18.4258799675588</v>
      </c>
      <c r="N96" s="72" t="n">
        <v>180</v>
      </c>
    </row>
    <row r="97">
      <c r="A97" s="58" t="inlineStr">
        <is>
          <t>SellerBoard, Ecotero account, Amazon parent B0DZ17NCJ4 plus any of this product's child ASINs SellerBoard lists on their own, UTC days. Lift above uses these actual sales (2.47x; the ad-spend estimate was 2.47x).</t>
        </is>
      </c>
    </row>
    <row r="98" ht="30" customHeight="1">
      <c r="A98" s="76"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7" t="inlineStr">
        <is>
          <t>BFCM 2026 plan (BM, Oct 15, 2026): Best Deal 11/19-11/30. Deal price and depth not yet given; not yet visible in Amazon's deal feed.</t>
        </is>
      </c>
    </row>
    <row r="100" ht="30" customHeight="1">
      <c r="A100" s="78" t="inlineStr">
        <is>
          <t>Amazon deal price now (Slack): Queen reference moved to the current $21.95; Oct 16 Best Deal max $19.76 (10% below today). 17 SKUs still carry the old lower reference (mostly Twin and Full, plus Queen Navy and Blush), cut 14-23%. [Umair Tahir, #satin-fitted-sheet-only, 2026-10-15]</t>
        </is>
      </c>
    </row>
    <row r="101" ht="30" customHeight="1">
      <c r="A101" s="78" t="inlineStr">
        <is>
          <t>Pre-BFCM deal decision and stock (Slack):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 [Umair Tahir, #satin-fitted-sheet-only, 2026-10-15]</t>
        </is>
      </c>
    </row>
    <row r="102" ht="18" customHeight="1">
      <c r="A102" s="79" t="inlineStr">
        <is>
          <t>ASSUMED 2026 deal prices, until BM's final: B0DBW1PNJ8 today $21.95; $18.66 at 15% off (Nov 19-26) and $17.56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3" ht="30" customHeight="1">
      <c r="A103" s="76"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4" ht="40" customHeight="1">
      <c r="A104" s="76"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5">
      <c r="A105" s="58" t="inlineStr">
        <is>
          <t>Command Center visibility for our best child B0DBW1PNJ8: organic score 98.1 before BFCM 2025 → 70.8 in BFCM week; Prime Day 2026 78.0 → 84.0; Aug-Sep 2026 51.7.</t>
        </is>
      </c>
    </row>
    <row r="107" ht="20" customHeight="1">
      <c r="A107" s="53" t="inlineStr">
        <is>
          <t>4 · COMPETITOR LANDSCAPE (14 mapped)</t>
        </is>
      </c>
    </row>
    <row r="108">
      <c r="A108" s="58" t="inlineStr">
        <is>
          <t>Sorted by tier, then estimated weekly units. Green = Command Center price/sales; blue = Data Dive listing; purple = Command Center search strategy (ASINsight); yellow = fill from Keepa / page check.</t>
        </is>
      </c>
    </row>
    <row r="109">
      <c r="A109" s="80" t="inlineStr">
        <is>
          <t>COMPETITOR</t>
        </is>
      </c>
      <c r="I109" s="81" t="inlineStr">
        <is>
          <t>LISTING - Data Dive</t>
        </is>
      </c>
      <c r="J109" s="82" t="inlineStr">
        <is>
          <t>SEARCH STRATEGY - Command Center ASINsight</t>
        </is>
      </c>
      <c r="K109" s="83" t="inlineStr">
        <is>
          <t>PRICE &amp; SALES - Command Center snapshot (date per row)</t>
        </is>
      </c>
      <c r="X109" s="81" t="inlineStr">
        <is>
          <t>LISTING - Data Dive</t>
        </is>
      </c>
      <c r="AA109" s="82" t="inlineStr">
        <is>
          <t>SEARCH STRATEGY - Command Center ASINsight</t>
        </is>
      </c>
      <c r="AR109" s="84" t="inlineStr">
        <is>
          <t>STR NOW - Amazon page check (Oct 13, P1 + P2)</t>
        </is>
      </c>
      <c r="AY109" s="85" t="inlineStr">
        <is>
          <t>BFCM 2025 - Keepa (P1 filled; yellow = not pulled yet)</t>
        </is>
      </c>
    </row>
    <row r="110" ht="48" customHeight="1">
      <c r="A110" s="22" t="inlineStr">
        <is>
          <t>Image</t>
        </is>
      </c>
      <c r="B110" s="22" t="inlineStr">
        <is>
          <t>Brand</t>
        </is>
      </c>
      <c r="C110" s="22" t="inlineStr">
        <is>
          <t>Product title</t>
        </is>
      </c>
      <c r="D110" s="22" t="inlineStr">
        <is>
          <t>Tier</t>
        </is>
      </c>
      <c r="E110" s="22" t="inlineStr">
        <is>
          <t>Parent ASIN</t>
        </is>
      </c>
      <c r="F110" s="22" t="inlineStr">
        <is>
          <t>Tracked child ASIN</t>
        </is>
      </c>
      <c r="G110" s="22" t="inlineStr">
        <is>
          <t>Size</t>
        </is>
      </c>
      <c r="H110" s="22" t="inlineStr">
        <is>
          <t>Colour</t>
        </is>
      </c>
      <c r="I110" s="22" t="inlineStr">
        <is>
          <t>Variations</t>
        </is>
      </c>
      <c r="J110" s="22" t="inlineStr">
        <is>
          <t>Hero child ASINs (share of their visibility)</t>
        </is>
      </c>
      <c r="K110" s="22" t="inlineStr">
        <is>
          <t>Price ($)</t>
        </is>
      </c>
      <c r="L110" s="22" t="inlineStr">
        <is>
          <t>List Price ($)</t>
        </is>
      </c>
      <c r="M110" s="22" t="inlineStr">
        <is>
          <t>List Price % over</t>
        </is>
      </c>
      <c r="N110" s="22" t="inlineStr">
        <is>
          <t>STR band</t>
        </is>
      </c>
      <c r="O110" s="22" t="inlineStr">
        <is>
          <t>Our price, same size ($)</t>
        </is>
      </c>
      <c r="P110" s="22" t="inlineStr">
        <is>
          <t>Their price vs ours</t>
        </is>
      </c>
      <c r="Q110" s="22" t="inlineStr">
        <is>
          <t>Comparison basis</t>
        </is>
      </c>
      <c r="R110" s="22" t="inlineStr">
        <is>
          <t>BSR</t>
        </is>
      </c>
      <c r="S110" s="22" t="inlineStr">
        <is>
          <t>Est weekly units</t>
        </is>
      </c>
      <c r="T110" s="22" t="inlineStr">
        <is>
          <t>Est monthly revenue ($)</t>
        </is>
      </c>
      <c r="U110" s="22" t="inlineStr">
        <is>
          <t>Rating</t>
        </is>
      </c>
      <c r="V110" s="22" t="inlineStr">
        <is>
          <t>Reviews</t>
        </is>
      </c>
      <c r="W110" s="22" t="inlineStr">
        <is>
          <t>Snapshot date</t>
        </is>
      </c>
      <c r="X110" s="22" t="inlineStr">
        <is>
          <t>Listed</t>
        </is>
      </c>
      <c r="Y110" s="22" t="inlineStr">
        <is>
          <t>Fulfil.</t>
        </is>
      </c>
      <c r="Z110" s="22" t="inlineStr">
        <is>
          <t>Seller country</t>
        </is>
      </c>
      <c r="AA110" s="22" t="inlineStr">
        <is>
          <t>ASINsight 7d traffic</t>
        </is>
      </c>
      <c r="AB110" s="22" t="inlineStr">
        <is>
          <t>Keywords ranked</t>
        </is>
      </c>
      <c r="AC110" s="22" t="inlineStr">
        <is>
          <t>Organic share of traffic</t>
        </is>
      </c>
      <c r="AD110" s="22" t="inlineStr">
        <is>
          <t>Ad share of traffic</t>
        </is>
      </c>
      <c r="AE110" s="22" t="inlineStr">
        <is>
          <t>Top keyword</t>
        </is>
      </c>
      <c r="AF110" s="22" t="inlineStr">
        <is>
          <t>SP reach</t>
        </is>
      </c>
      <c r="AG110" s="22" t="inlineStr">
        <is>
          <t>SB reach</t>
        </is>
      </c>
      <c r="AH110" s="22" t="inlineStr">
        <is>
          <t>SB video reach</t>
        </is>
      </c>
      <c r="AI110" s="22" t="inlineStr">
        <is>
          <t>Amazon's Choice reach</t>
        </is>
      </c>
      <c r="AJ110" s="22" t="inlineStr">
        <is>
          <t>Shared keywords</t>
        </is>
      </c>
      <c r="AK110" s="22" t="inlineStr">
        <is>
          <t>We win</t>
        </is>
      </c>
      <c r="AL110" s="22" t="inlineStr">
        <is>
          <t>We lose</t>
        </is>
      </c>
      <c r="AM110" s="22" t="inlineStr">
        <is>
          <t>Their keywords we miss</t>
        </is>
      </c>
      <c r="AN110" s="22" t="inlineStr">
        <is>
          <t>KWs they advertise, we don't</t>
        </is>
      </c>
      <c r="AO110" s="22" t="inlineStr">
        <is>
          <t>KWs they out-advertise us</t>
        </is>
      </c>
      <c r="AP110" s="22" t="inlineStr">
        <is>
          <t>Prime Day 2026 organic vis lift</t>
        </is>
      </c>
      <c r="AQ110" s="22" t="inlineStr">
        <is>
          <t>Organic trend (Aug-Sep vs Q2)</t>
        </is>
      </c>
      <c r="AR110" s="22" t="inlineStr">
        <is>
          <t>STR showing now? (Y/N)</t>
        </is>
      </c>
      <c r="AS110" s="22" t="inlineStr">
        <is>
          <t>STR label</t>
        </is>
      </c>
      <c r="AT110" s="22" t="inlineStr">
        <is>
          <t>Strikethrough price ($)</t>
        </is>
      </c>
      <c r="AU110" s="22" t="inlineStr">
        <is>
          <t>Page price at check ($)</t>
        </is>
      </c>
      <c r="AV110" s="22" t="inlineStr">
        <is>
          <t>Deal / coupon now</t>
        </is>
      </c>
      <c r="AW110" s="22" t="inlineStr">
        <is>
          <t>Orderable now (Y/N)</t>
        </is>
      </c>
      <c r="AX110" s="22" t="inlineStr">
        <is>
          <t>Checked (ET)</t>
        </is>
      </c>
      <c r="AY110" s="22" t="inlineStr">
        <is>
          <t>BFCM 2025 deal type</t>
        </is>
      </c>
      <c r="AZ110" s="22" t="inlineStr">
        <is>
          <t>BFCM 2025 deal dates</t>
        </is>
      </c>
      <c r="BA110" s="22" t="inlineStr">
        <is>
          <t>Pre-event price ($)</t>
        </is>
      </c>
      <c r="BB110" s="22" t="inlineStr">
        <is>
          <t>BFCM 2025 low ($)</t>
        </is>
      </c>
      <c r="BC110" s="22" t="inlineStr">
        <is>
          <t>BFCM 2025 discount</t>
        </is>
      </c>
      <c r="BD110" s="22" t="inlineStr">
        <is>
          <t>BSR pre-event</t>
        </is>
      </c>
      <c r="BE110" s="22" t="inlineStr">
        <is>
          <t>BSR BFCM wk</t>
        </is>
      </c>
      <c r="BF110" s="22" t="inlineStr">
        <is>
          <t>BSR lift (x)</t>
        </is>
      </c>
      <c r="BG110" s="22" t="inlineStr">
        <is>
          <t>OOS in BFCM? (Y/N)</t>
        </is>
      </c>
      <c r="BH110" s="22" t="inlineStr">
        <is>
          <t>Notes</t>
        </is>
      </c>
    </row>
    <row r="111" ht="62" customHeight="1">
      <c r="A111" s="10">
        <f>_xlfn.IMAGE("https://m.media-amazon.com/images/I/61ctdtmfhML._AC_SL1500_.jpg")</f>
        <v/>
      </c>
      <c r="B111" s="86" t="inlineStr">
        <is>
          <t>BEDELITE</t>
        </is>
      </c>
      <c r="C111" s="32" t="inlineStr">
        <is>
          <t>Satin Fitted Sheet</t>
        </is>
      </c>
      <c r="D111" s="86" t="inlineStr">
        <is>
          <t>Beatable</t>
        </is>
      </c>
      <c r="E111" s="87" t="inlineStr">
        <is>
          <t>B0FNMFHHW7</t>
        </is>
      </c>
      <c r="F111" s="87" t="inlineStr">
        <is>
          <t>B0FL2BK9CR</t>
        </is>
      </c>
      <c r="G111" s="86" t="inlineStr">
        <is>
          <t>Queen</t>
        </is>
      </c>
      <c r="H111" s="86" t="inlineStr">
        <is>
          <t>Black</t>
        </is>
      </c>
      <c r="I111" s="88" t="n">
        <v>30</v>
      </c>
      <c r="J111" s="32" t="inlineStr">
        <is>
          <t>B0FL2BK9CR (67%), B0FL2BLLVL (9%), B0FL2CPFYZ (8%)</t>
        </is>
      </c>
      <c r="K111" s="89" t="n">
        <v>13.99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11 children</t>
        </is>
      </c>
      <c r="R111" s="88" t="n">
        <v>11489</v>
      </c>
      <c r="S111" s="88" t="n">
        <v>208</v>
      </c>
      <c r="T111" s="93">
        <f>IF(AND(ISNUMBER(K111),ISNUMBER(S111)),K111*S111*52/12,"")</f>
        <v/>
      </c>
      <c r="U111" s="94" t="n">
        <v>4.4</v>
      </c>
      <c r="V111" s="88" t="n">
        <v>528</v>
      </c>
      <c r="W111" s="95" t="n">
        <v>46307</v>
      </c>
      <c r="X111" s="95" t="n"/>
      <c r="Y111" s="86" t="n"/>
      <c r="Z111" s="86" t="n"/>
      <c r="AA111" s="88" t="n">
        <v>91747</v>
      </c>
      <c r="AB111" s="88" t="n">
        <v>1002</v>
      </c>
      <c r="AC111" s="96" t="n">
        <v>0.6396661122434514</v>
      </c>
      <c r="AD111" s="96" t="n">
        <v>0.3603339923921218</v>
      </c>
      <c r="AE111" s="32" t="inlineStr">
        <is>
          <t>silk sheets</t>
        </is>
      </c>
      <c r="AF111" s="96" t="n">
        <v>0.8237435556475962</v>
      </c>
      <c r="AG111" s="96" t="n"/>
      <c r="AH111" s="96" t="n"/>
      <c r="AI111" s="96" t="n">
        <v>0.0912291410073354</v>
      </c>
      <c r="AJ111" s="88" t="n">
        <v>416</v>
      </c>
      <c r="AK111" s="88" t="n">
        <v>171</v>
      </c>
      <c r="AL111" s="88" t="n">
        <v>219</v>
      </c>
      <c r="AM111" s="88" t="n">
        <v>586</v>
      </c>
      <c r="AN111" s="88" t="n">
        <v>93</v>
      </c>
      <c r="AO111" s="88" t="n">
        <v>16</v>
      </c>
      <c r="AP111" s="97" t="n">
        <v>1.227166276346604</v>
      </c>
      <c r="AQ111" s="92" t="n">
        <v>0.2799310938845823</v>
      </c>
      <c r="AR111" s="98" t="inlineStr">
        <is>
          <t>Y</t>
        </is>
      </c>
      <c r="AS111" s="98" t="inlineStr">
        <is>
          <t>List Price</t>
        </is>
      </c>
      <c r="AT111" s="99" t="n">
        <v>16.99</v>
      </c>
      <c r="AU111" s="99" t="n">
        <v>13.99</v>
      </c>
      <c r="AV111" s="98" t="inlineStr">
        <is>
          <t>none</t>
        </is>
      </c>
      <c r="AW111" s="98" t="inlineStr">
        <is>
          <t>Y</t>
        </is>
      </c>
      <c r="AX111" s="98" t="inlineStr">
        <is>
          <t>2026-10-13 12:12:33</t>
        </is>
      </c>
      <c r="AY111" s="100" t="inlineStr">
        <is>
          <t>Prime Exclusive Discount</t>
        </is>
      </c>
      <c r="AZ111" s="100" t="inlineStr">
        <is>
          <t>11-02 to 12-05</t>
        </is>
      </c>
      <c r="BA111" s="101" t="n">
        <v>13.59</v>
      </c>
      <c r="BB111" s="101" t="n">
        <v>12.74</v>
      </c>
      <c r="BC111" s="90">
        <f>IF(AND(ISNUMBER(BA111),ISNUMBER(BB111),N(BA111)&gt;0),1-BB111/BA111,"")</f>
        <v/>
      </c>
      <c r="BD111" s="102" t="n">
        <v>43633</v>
      </c>
      <c r="BE111" s="102" t="n">
        <v>39640</v>
      </c>
      <c r="BF111" s="103">
        <f>IF(AND(ISNUMBER(BD111),ISNUMBER(BE111),N(BE111)&gt;0),BD111/BE111,"")</f>
        <v/>
      </c>
      <c r="BG111" s="100" t="inlineStr">
        <is>
          <t>N</t>
        </is>
      </c>
      <c r="BH111" s="100" t="inlineStr">
        <is>
          <t>Prime Exclusive already running before BFCM week; Buy Box RAISED in BFCM week (median $16.99 vs $13.59 before); List Price $16.99</t>
        </is>
      </c>
    </row>
    <row r="112" ht="62" customHeight="1">
      <c r="A112" s="10">
        <f>_xlfn.IMAGE("https://images-na.ssl-images-amazon.com/images/I/71Jlvkv3rfL.jpg")</f>
        <v/>
      </c>
      <c r="B112" s="86" t="inlineStr">
        <is>
          <t>BEDELITE</t>
        </is>
      </c>
      <c r="C112" s="32" t="inlineStr">
        <is>
          <t>BEDELITE Satin Queen Fitted Sheet &amp; Pillowcases Set, Black, 3 Pieces</t>
        </is>
      </c>
      <c r="D112" s="86" t="inlineStr">
        <is>
          <t>Beatable</t>
        </is>
      </c>
      <c r="E112" s="87" t="inlineStr">
        <is>
          <t>B0FPCM7DL3</t>
        </is>
      </c>
      <c r="F112" s="87" t="inlineStr">
        <is>
          <t>B0CSFV4FXW</t>
        </is>
      </c>
      <c r="G112" s="86" t="inlineStr">
        <is>
          <t>Queen</t>
        </is>
      </c>
      <c r="H112" s="86" t="inlineStr">
        <is>
          <t>Black</t>
        </is>
      </c>
      <c r="I112" s="88" t="n">
        <v>107</v>
      </c>
      <c r="J112" s="32" t="inlineStr">
        <is>
          <t>B0CSFV4FXW (48%), B0CSFV69Q1 (13%), B0CSFW55XL (12%), B0CSFWH14D (5%), B0F291FC32 (4%)</t>
        </is>
      </c>
      <c r="K112" s="89" t="n">
        <v>15.98</v>
      </c>
      <c r="L112" s="89" t="n">
        <v>19.99</v>
      </c>
      <c r="M112" s="90">
        <f>IF(AND(ISNUMBER(L112),ISNUMBER(K112),N(K112)&gt;0),L112/K112-1,"")</f>
        <v/>
      </c>
      <c r="N112" s="91">
        <f>IF(M112="","No List Price",IF(M112&lt;=0,"At/below price",IF(M112&lt;=0.12,"&lt;=12% STR zone",IF(M112&lt;=0.25,"12-25%","&gt;25% over"))))</f>
        <v/>
      </c>
      <c r="O112" s="89" t="n">
        <v>21.95</v>
      </c>
      <c r="P112" s="92">
        <f>IF(AND(ISNUMBER(K112),ISNUMBER(O112),N(O112)&gt;0),K112/O112-1,"")</f>
        <v/>
      </c>
      <c r="Q112" s="32" t="inlineStr">
        <is>
          <t>Same size (Queen). Ours live: Helium 10 Xray, 2026-10-13; 11 children</t>
        </is>
      </c>
      <c r="R112" s="88" t="n">
        <v>4306</v>
      </c>
      <c r="S112" s="88" t="n">
        <v>208</v>
      </c>
      <c r="T112" s="93">
        <f>IF(AND(ISNUMBER(K112),ISNUMBER(S112)),K112*S112*52/12,"")</f>
        <v/>
      </c>
      <c r="U112" s="94" t="n">
        <v>4.4</v>
      </c>
      <c r="V112" s="88" t="n">
        <v>1858</v>
      </c>
      <c r="W112" s="95" t="n">
        <v>46307</v>
      </c>
      <c r="X112" s="95" t="n">
        <v>45307</v>
      </c>
      <c r="Y112" s="86" t="inlineStr">
        <is>
          <t>FBA</t>
        </is>
      </c>
      <c r="Z112" s="86" t="inlineStr">
        <is>
          <t>CN</t>
        </is>
      </c>
      <c r="AA112" s="88" t="n">
        <v>179643</v>
      </c>
      <c r="AB112" s="88" t="n">
        <v>2252</v>
      </c>
      <c r="AC112" s="96" t="n">
        <v>0.4557323781054652</v>
      </c>
      <c r="AD112" s="96" t="n">
        <v>0.5442676753338563</v>
      </c>
      <c r="AE112" s="32" t="inlineStr">
        <is>
          <t>shee</t>
        </is>
      </c>
      <c r="AF112" s="96" t="n">
        <v>0.9239714322294773</v>
      </c>
      <c r="AG112" s="96" t="n">
        <v>0.4045968949527675</v>
      </c>
      <c r="AH112" s="96" t="n"/>
      <c r="AI112" s="96" t="n">
        <v>0.02756578324788609</v>
      </c>
      <c r="AJ112" s="88" t="n">
        <v>502</v>
      </c>
      <c r="AK112" s="88" t="n">
        <v>197</v>
      </c>
      <c r="AL112" s="88" t="n">
        <v>259</v>
      </c>
      <c r="AM112" s="88" t="n">
        <v>1750</v>
      </c>
      <c r="AN112" s="88" t="n">
        <v>499</v>
      </c>
      <c r="AO112" s="88" t="n">
        <v>21</v>
      </c>
      <c r="AP112" s="97" t="n">
        <v>1.118721461187214</v>
      </c>
      <c r="AQ112" s="92" t="n">
        <v>0.04072948328267478</v>
      </c>
      <c r="AR112" s="98" t="inlineStr">
        <is>
          <t>Y</t>
        </is>
      </c>
      <c r="AS112" s="98" t="inlineStr">
        <is>
          <t>List Price</t>
        </is>
      </c>
      <c r="AT112" s="99" t="n">
        <v>19.99</v>
      </c>
      <c r="AU112" s="99" t="n">
        <v>15.98</v>
      </c>
      <c r="AV112" s="98" t="inlineStr">
        <is>
          <t>Limited time deal</t>
        </is>
      </c>
      <c r="AW112" s="98" t="inlineStr">
        <is>
          <t>Y</t>
        </is>
      </c>
      <c r="AX112" s="98" t="inlineStr">
        <is>
          <t>2026-10-13 12:12:30</t>
        </is>
      </c>
      <c r="AY112" s="100" t="inlineStr">
        <is>
          <t>Price cut only</t>
        </is>
      </c>
      <c r="AZ112" s="100" t="inlineStr">
        <is>
          <t>11-20 to 12-01</t>
        </is>
      </c>
      <c r="BA112" s="101" t="n">
        <v>15.99</v>
      </c>
      <c r="BB112" s="101" t="n">
        <v>15.18</v>
      </c>
      <c r="BC112" s="90">
        <f>IF(AND(ISNUMBER(BA112),ISNUMBER(BB112),N(BA112)&gt;0),1-BB112/BA112,"")</f>
        <v/>
      </c>
      <c r="BD112" s="102" t="n">
        <v>8356</v>
      </c>
      <c r="BE112" s="102" t="n">
        <v>4609</v>
      </c>
      <c r="BF112" s="103">
        <f>IF(AND(ISNUMBER(BD112),ISNUMBER(BE112),N(BE112)&gt;0),BD112/BE112,"")</f>
        <v/>
      </c>
      <c r="BG112" s="100" t="inlineStr">
        <is>
          <t>N</t>
        </is>
      </c>
      <c r="BH112" s="100" t="inlineStr">
        <is>
          <t>Prime Exclusive 11-01 to 12-05; Lightning Deal 11-09 to 11-09; Prime Exclusive already running before BFCM week; List Price $19.99</t>
        </is>
      </c>
    </row>
    <row r="113" ht="62" customHeight="1">
      <c r="A113" s="10">
        <f>_xlfn.IMAGE("https://images-na.ssl-images-amazon.com/images/I/71d2-R2XfJL.jpg")</f>
        <v/>
      </c>
      <c r="B113" s="86" t="inlineStr">
        <is>
          <t>VACVELT</t>
        </is>
      </c>
      <c r="C113" s="32" t="inlineStr">
        <is>
          <t>VACVELT 3pcs Queen Black Extra Deep Pocket Satin Fitted Sheet Set</t>
        </is>
      </c>
      <c r="D113" s="86" t="inlineStr">
        <is>
          <t>Beatable</t>
        </is>
      </c>
      <c r="E113" s="87" t="inlineStr">
        <is>
          <t>B0BWJ4PYLN</t>
        </is>
      </c>
      <c r="F113" s="87" t="inlineStr">
        <is>
          <t>B0BWJ4MLLZ</t>
        </is>
      </c>
      <c r="G113" s="86" t="inlineStr">
        <is>
          <t>Queen</t>
        </is>
      </c>
      <c r="H113" s="86" t="inlineStr">
        <is>
          <t>Black</t>
        </is>
      </c>
      <c r="I113" s="88" t="n">
        <v>40</v>
      </c>
      <c r="J113" s="32" t="inlineStr">
        <is>
          <t>B0BWJ4MLLZ (83%)</t>
        </is>
      </c>
      <c r="K113" s="89" t="n">
        <v>18.99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11 children</t>
        </is>
      </c>
      <c r="R113" s="88" t="n">
        <v>49291</v>
      </c>
      <c r="S113" s="88" t="n">
        <v>92</v>
      </c>
      <c r="T113" s="93">
        <f>IF(AND(ISNUMBER(K113),ISNUMBER(S113)),K113*S113*52/12,"")</f>
        <v/>
      </c>
      <c r="U113" s="94" t="n">
        <v>4.2</v>
      </c>
      <c r="V113" s="88" t="n">
        <v>747</v>
      </c>
      <c r="W113" s="95" t="n">
        <v>46307</v>
      </c>
      <c r="X113" s="95" t="n">
        <v>44979</v>
      </c>
      <c r="Y113" s="86" t="inlineStr">
        <is>
          <t>FBA</t>
        </is>
      </c>
      <c r="Z113" s="86" t="inlineStr">
        <is>
          <t>CN</t>
        </is>
      </c>
      <c r="AA113" s="88" t="n">
        <v>25451</v>
      </c>
      <c r="AB113" s="88" t="n">
        <v>677</v>
      </c>
      <c r="AC113" s="96" t="n">
        <v>0.9999606773800636</v>
      </c>
      <c r="AD113" s="96" t="n">
        <v>3.932261993634828e-05</v>
      </c>
      <c r="AE113" s="32" t="inlineStr">
        <is>
          <t>satin sheets</t>
        </is>
      </c>
      <c r="AF113" s="96" t="n">
        <v>0.175985226513693</v>
      </c>
      <c r="AG113" s="96" t="n"/>
      <c r="AH113" s="96" t="n"/>
      <c r="AI113" s="96" t="n">
        <v>0</v>
      </c>
      <c r="AJ113" s="88" t="n">
        <v>268</v>
      </c>
      <c r="AK113" s="88" t="n">
        <v>180</v>
      </c>
      <c r="AL113" s="88" t="n">
        <v>69</v>
      </c>
      <c r="AM113" s="88" t="n">
        <v>409</v>
      </c>
      <c r="AN113" s="88" t="n">
        <v>1</v>
      </c>
      <c r="AO113" s="88" t="n">
        <v>0</v>
      </c>
      <c r="AP113" s="97" t="n">
        <v>1.145341614906832</v>
      </c>
      <c r="AQ113" s="92" t="n">
        <v>0.1112500000000001</v>
      </c>
      <c r="AR113" s="98" t="inlineStr">
        <is>
          <t>N</t>
        </is>
      </c>
      <c r="AS113" s="98" t="inlineStr">
        <is>
          <t>none</t>
        </is>
      </c>
      <c r="AT113" s="104" t="n"/>
      <c r="AU113" s="99" t="n">
        <v>18.99</v>
      </c>
      <c r="AV113" s="98" t="inlineStr">
        <is>
          <t>none</t>
        </is>
      </c>
      <c r="AW113" s="98" t="inlineStr">
        <is>
          <t>Y</t>
        </is>
      </c>
      <c r="AX113" s="98" t="inlineStr">
        <is>
          <t>2026-10-13 12:13:51</t>
        </is>
      </c>
      <c r="AY113" s="100" t="inlineStr">
        <is>
          <t>Prime Exclusive Discount</t>
        </is>
      </c>
      <c r="AZ113" s="100" t="inlineStr">
        <is>
          <t>11-01 to 12-01</t>
        </is>
      </c>
      <c r="BA113" s="101" t="n">
        <v>25.99</v>
      </c>
      <c r="BB113" s="101" t="n">
        <v>17.15</v>
      </c>
      <c r="BC113" s="90">
        <f>IF(AND(ISNUMBER(BA113),ISNUMBER(BB113),N(BA113)&gt;0),1-BB113/BA113,"")</f>
        <v/>
      </c>
      <c r="BD113" s="102" t="n">
        <v>56482</v>
      </c>
      <c r="BE113" s="102" t="n">
        <v>55960</v>
      </c>
      <c r="BF113" s="103">
        <f>IF(AND(ISNUMBER(BD113),ISNUMBER(BE113),N(BE113)&gt;0),BD113/BE113,"")</f>
        <v/>
      </c>
      <c r="BG113" s="100" t="inlineStr">
        <is>
          <t>N</t>
        </is>
      </c>
      <c r="BH113" s="100" t="inlineStr">
        <is>
          <t>Prime Exclusive already running before BFCM week; List Price $47.98</t>
        </is>
      </c>
    </row>
    <row r="114" ht="62" customHeight="1">
      <c r="A114" s="10">
        <f>_xlfn.IMAGE("https://images-na.ssl-images-amazon.com/images/I/81MYmoOAtUL.jpg")</f>
        <v/>
      </c>
      <c r="B114" s="86" t="inlineStr">
        <is>
          <t>Homiest</t>
        </is>
      </c>
      <c r="C114" s="32" t="inlineStr">
        <is>
          <t>Satin Fitted Sheet</t>
        </is>
      </c>
      <c r="D114" s="86" t="inlineStr">
        <is>
          <t>Beatable</t>
        </is>
      </c>
      <c r="E114" s="87" t="inlineStr">
        <is>
          <t>B09WGRB6MD</t>
        </is>
      </c>
      <c r="F114" s="87" t="inlineStr">
        <is>
          <t>B09WHDR231</t>
        </is>
      </c>
      <c r="G114" s="86" t="inlineStr">
        <is>
          <t>Twin - Fitted</t>
        </is>
      </c>
      <c r="H114" s="86" t="inlineStr">
        <is>
          <t>Black</t>
        </is>
      </c>
      <c r="I114" s="88" t="n">
        <v>55</v>
      </c>
      <c r="J114" s="32" t="inlineStr">
        <is>
          <t>B09WH7J5F3 (30%), B09WGTH1M5 (24%), B09WH4B2BD (17%), B09WHDR231 (10%)</t>
        </is>
      </c>
      <c r="K114" s="89" t="n">
        <v>12.99</v>
      </c>
      <c r="L114" s="89" t="n"/>
      <c r="M114" s="90">
        <f>IF(AND(ISNUMBER(L114),ISNUMBER(K114),N(K114)&gt;0),L114/K114-1,"")</f>
        <v/>
      </c>
      <c r="N114" s="91">
        <f>IF(M114="","No List Price",IF(M114&lt;=0,"At/below price",IF(M114&lt;=0.12,"&lt;=12% STR zone",IF(M114&lt;=0.25,"12-25%","&gt;25% over"))))</f>
        <v/>
      </c>
      <c r="O114" s="89" t="n">
        <v>19.34424242424242</v>
      </c>
      <c r="P114" s="92">
        <f>IF(AND(ISNUMBER(K114),ISNUMBER(O114),N(O114)&gt;0),K114/O114-1,"")</f>
        <v/>
      </c>
      <c r="Q114" s="32" t="inlineStr">
        <is>
          <t>vs our blended price (Command Center, Mar 2026 - STALE)</t>
        </is>
      </c>
      <c r="R114" s="88" t="n">
        <v>18176</v>
      </c>
      <c r="S114" s="88" t="n">
        <v>35</v>
      </c>
      <c r="T114" s="93">
        <f>IF(AND(ISNUMBER(K114),ISNUMBER(S114)),K114*S114*52/12,"")</f>
        <v/>
      </c>
      <c r="U114" s="94" t="n">
        <v>4.7</v>
      </c>
      <c r="V114" s="88" t="n">
        <v>357</v>
      </c>
      <c r="W114" s="95" t="n">
        <v>46307</v>
      </c>
      <c r="X114" s="95" t="n"/>
      <c r="Y114" s="86" t="n"/>
      <c r="Z114" s="86" t="n"/>
      <c r="AA114" s="88" t="n">
        <v>41522</v>
      </c>
      <c r="AB114" s="88" t="n">
        <v>853</v>
      </c>
      <c r="AC114" s="96" t="n">
        <v>0.9561438081017288</v>
      </c>
      <c r="AD114" s="96" t="n">
        <v>0.04385634603342806</v>
      </c>
      <c r="AE114" s="32" t="inlineStr">
        <is>
          <t>satin sheets</t>
        </is>
      </c>
      <c r="AF114" s="96" t="n">
        <v>0.2673522470015895</v>
      </c>
      <c r="AG114" s="96" t="n"/>
      <c r="AH114" s="96" t="n"/>
      <c r="AI114" s="96" t="n">
        <v>0.009874283512354896</v>
      </c>
      <c r="AJ114" s="88" t="n">
        <v>416</v>
      </c>
      <c r="AK114" s="88" t="n">
        <v>221</v>
      </c>
      <c r="AL114" s="88" t="n">
        <v>157</v>
      </c>
      <c r="AM114" s="88" t="n">
        <v>437</v>
      </c>
      <c r="AN114" s="88" t="n">
        <v>23</v>
      </c>
      <c r="AO114" s="88" t="n">
        <v>2</v>
      </c>
      <c r="AP114" s="97" t="n">
        <v>0.960591133004926</v>
      </c>
      <c r="AQ114" s="92" t="n">
        <v>-0.1584158415841583</v>
      </c>
      <c r="AR114" s="98" t="inlineStr">
        <is>
          <t>N</t>
        </is>
      </c>
      <c r="AS114" s="98" t="inlineStr">
        <is>
          <t>none</t>
        </is>
      </c>
      <c r="AT114" s="104" t="n"/>
      <c r="AU114" s="99" t="n">
        <v>12.99</v>
      </c>
      <c r="AV114" s="98" t="inlineStr">
        <is>
          <t>none</t>
        </is>
      </c>
      <c r="AW114" s="98" t="inlineStr">
        <is>
          <t>Y</t>
        </is>
      </c>
      <c r="AX114" s="98" t="inlineStr">
        <is>
          <t>2026-10-13 12:12:59</t>
        </is>
      </c>
      <c r="AY114" s="100" t="inlineStr">
        <is>
          <t>Prime Exclusive Discount</t>
        </is>
      </c>
      <c r="AZ114" s="100" t="inlineStr">
        <is>
          <t>11-18 to 12-05</t>
        </is>
      </c>
      <c r="BA114" s="101" t="n">
        <v>12.99</v>
      </c>
      <c r="BB114" s="101" t="n">
        <v>10.94</v>
      </c>
      <c r="BC114" s="90">
        <f>IF(AND(ISNUMBER(BA114),ISNUMBER(BB114),N(BA114)&gt;0),1-BB114/BA114,"")</f>
        <v/>
      </c>
      <c r="BD114" s="102" t="n">
        <v>13619</v>
      </c>
      <c r="BE114" s="102" t="n">
        <v>16677</v>
      </c>
      <c r="BF114" s="103">
        <f>IF(AND(ISNUMBER(BD114),ISNUMBER(BE114),N(BE114)&gt;0),BD114/BE114,"")</f>
        <v/>
      </c>
      <c r="BG114" s="100" t="inlineStr">
        <is>
          <t>N</t>
        </is>
      </c>
      <c r="BH114" s="100" t="inlineStr">
        <is>
          <t>Prime Exclusive already running before BFCM week; Buy Box RAISED in BFCM week (median $14.99 vs $12.99 before); List Price $23.02</t>
        </is>
      </c>
    </row>
    <row r="115" ht="62" customHeight="1">
      <c r="A115" s="10">
        <f>_xlfn.IMAGE("https://m.media-amazon.com/images/I/61ShIpqvBXL._AC_SL1500_.jpg")</f>
        <v/>
      </c>
      <c r="B115" s="86" t="inlineStr">
        <is>
          <t>VACVELT</t>
        </is>
      </c>
      <c r="C115" s="32" t="inlineStr">
        <is>
          <t>Satin Sheets</t>
        </is>
      </c>
      <c r="D115" s="86" t="inlineStr">
        <is>
          <t>Beatable</t>
        </is>
      </c>
      <c r="E115" s="87" t="inlineStr">
        <is>
          <t>B0F7XQDVJY</t>
        </is>
      </c>
      <c r="F115" s="87" t="inlineStr">
        <is>
          <t>B0F7XRNKQY</t>
        </is>
      </c>
      <c r="G115" s="86" t="inlineStr">
        <is>
          <t>Queen</t>
        </is>
      </c>
      <c r="H115" s="86" t="inlineStr">
        <is>
          <t>Beige</t>
        </is>
      </c>
      <c r="I115" s="88" t="n">
        <v>31</v>
      </c>
      <c r="J115" s="32" t="inlineStr">
        <is>
          <t>B0F7XRNKQY (46%), B0F7XR7CJX (14%), B0F7XQPKCG (8%), B0F7XQLX2P (6%), B0F7XR8JYF (4%)</t>
        </is>
      </c>
      <c r="K115" s="89" t="n">
        <v>17.99</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Same size (Queen). Ours live: Helium 10 Xray, 2026-10-13; 11 children</t>
        </is>
      </c>
      <c r="R115" s="88" t="n">
        <v>79028</v>
      </c>
      <c r="S115" s="88" t="n">
        <v>18</v>
      </c>
      <c r="T115" s="93">
        <f>IF(AND(ISNUMBER(K115),ISNUMBER(S115)),K115*S115*52/12,"")</f>
        <v/>
      </c>
      <c r="U115" s="94" t="n">
        <v>4.4</v>
      </c>
      <c r="V115" s="88" t="n">
        <v>209</v>
      </c>
      <c r="W115" s="95" t="n">
        <v>46307</v>
      </c>
      <c r="X115" s="95" t="n"/>
      <c r="Y115" s="86" t="n"/>
      <c r="Z115" s="86" t="n"/>
      <c r="AA115" s="88" t="n">
        <v>21912</v>
      </c>
      <c r="AB115" s="88" t="n">
        <v>632</v>
      </c>
      <c r="AC115" s="96" t="n">
        <v>0.9845742834976268</v>
      </c>
      <c r="AD115" s="96" t="n">
        <v>0.01542586254107338</v>
      </c>
      <c r="AE115" s="32" t="inlineStr">
        <is>
          <t>silk sheets</t>
        </is>
      </c>
      <c r="AF115" s="96" t="n">
        <v>0.004518072289156626</v>
      </c>
      <c r="AG115" s="96" t="n"/>
      <c r="AH115" s="96" t="n"/>
      <c r="AI115" s="96" t="n"/>
      <c r="AJ115" s="88" t="n">
        <v>341</v>
      </c>
      <c r="AK115" s="88" t="n">
        <v>231</v>
      </c>
      <c r="AL115" s="88" t="n">
        <v>85</v>
      </c>
      <c r="AM115" s="88" t="n">
        <v>291</v>
      </c>
      <c r="AN115" s="88" t="n">
        <v>9</v>
      </c>
      <c r="AO115" s="88" t="n">
        <v>2</v>
      </c>
      <c r="AP115" s="97" t="n">
        <v>1.707818930041152</v>
      </c>
      <c r="AQ115" s="92" t="n">
        <v>1.91358024691358</v>
      </c>
      <c r="AR115" s="98" t="inlineStr">
        <is>
          <t>N</t>
        </is>
      </c>
      <c r="AS115" s="98" t="inlineStr">
        <is>
          <t>none</t>
        </is>
      </c>
      <c r="AT115" s="104" t="n"/>
      <c r="AU115" s="99" t="n">
        <v>17.99</v>
      </c>
      <c r="AV115" s="98" t="inlineStr">
        <is>
          <t>none</t>
        </is>
      </c>
      <c r="AW115" s="98" t="inlineStr">
        <is>
          <t>Y</t>
        </is>
      </c>
      <c r="AX115" s="98" t="inlineStr">
        <is>
          <t>2026-10-13 12:13:54</t>
        </is>
      </c>
      <c r="AY115" s="100" t="inlineStr">
        <is>
          <t>None</t>
        </is>
      </c>
      <c r="AZ115" s="105" t="n"/>
      <c r="BA115" s="101" t="n">
        <v>20.99</v>
      </c>
      <c r="BB115" s="101" t="n">
        <v>19.99</v>
      </c>
      <c r="BC115" s="90">
        <f>IF(AND(ISNUMBER(BA115),ISNUMBER(BB115),N(BA115)&gt;0),1-BB115/BA115,"")</f>
        <v/>
      </c>
      <c r="BD115" s="102" t="n">
        <v>110546</v>
      </c>
      <c r="BE115" s="102" t="n">
        <v>96255</v>
      </c>
      <c r="BF115" s="103">
        <f>IF(AND(ISNUMBER(BD115),ISNUMBER(BE115),N(BE115)&gt;0),BD115/BE115,"")</f>
        <v/>
      </c>
      <c r="BG115" s="100" t="inlineStr">
        <is>
          <t>N</t>
        </is>
      </c>
      <c r="BH115" s="100" t="inlineStr">
        <is>
          <t>List Price $19.99</t>
        </is>
      </c>
    </row>
    <row r="116" ht="62" customHeight="1">
      <c r="A116" s="10">
        <f>_xlfn.IMAGE("https://m.media-amazon.com/images/I/71bg4AJEQpL._AC_SL1500_.jpg")</f>
        <v/>
      </c>
      <c r="B116" s="86" t="inlineStr">
        <is>
          <t>NSGZ</t>
        </is>
      </c>
      <c r="C116" s="32" t="inlineStr">
        <is>
          <t>Satin Fitted Sheet</t>
        </is>
      </c>
      <c r="D116" s="86" t="inlineStr">
        <is>
          <t>Poor</t>
        </is>
      </c>
      <c r="E116" s="87" t="inlineStr">
        <is>
          <t>B0BV1JFXC4</t>
        </is>
      </c>
      <c r="F116" s="87" t="inlineStr">
        <is>
          <t>B0BV1HW54C</t>
        </is>
      </c>
      <c r="G116" s="86" t="inlineStr">
        <is>
          <t>Full</t>
        </is>
      </c>
      <c r="H116" s="86" t="inlineStr">
        <is>
          <t>Pink</t>
        </is>
      </c>
      <c r="I116" s="88" t="n"/>
      <c r="J116" s="32" t="inlineStr"/>
      <c r="K116" s="89" t="n">
        <v>13.49</v>
      </c>
      <c r="L116" s="89" t="n"/>
      <c r="M116" s="90">
        <f>IF(AND(ISNUMBER(L116),ISNUMBER(K116),N(K116)&gt;0),L116/K116-1,"")</f>
        <v/>
      </c>
      <c r="N116" s="91">
        <f>IF(M116="","No List Price",IF(M116&lt;=0,"At/below price",IF(M116&lt;=0.12,"&lt;=12% STR zone",IF(M116&lt;=0.25,"12-25%","&gt;25% over"))))</f>
        <v/>
      </c>
      <c r="O116" s="89" t="n">
        <v>20.95</v>
      </c>
      <c r="P116" s="92">
        <f>IF(AND(ISNUMBER(K116),ISNUMBER(O116),N(O116)&gt;0),K116/O116-1,"")</f>
        <v/>
      </c>
      <c r="Q116" s="32" t="inlineStr">
        <is>
          <t>Same size (Full). Ours live: Helium 10 Xray, 2026-10-13; 14 children</t>
        </is>
      </c>
      <c r="R116" s="88" t="n">
        <v>49470</v>
      </c>
      <c r="S116" s="88" t="n">
        <v>81</v>
      </c>
      <c r="T116" s="93">
        <f>IF(AND(ISNUMBER(K116),ISNUMBER(S116)),K116*S116*52/12,"")</f>
        <v/>
      </c>
      <c r="U116" s="94" t="n">
        <v>4.4</v>
      </c>
      <c r="V116" s="88" t="n">
        <v>601</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13.49</v>
      </c>
      <c r="AV116" s="98" t="inlineStr">
        <is>
          <t>none</t>
        </is>
      </c>
      <c r="AW116" s="98" t="inlineStr">
        <is>
          <t>Y</t>
        </is>
      </c>
      <c r="AX116" s="98" t="inlineStr">
        <is>
          <t>2026-10-13 23:44:37</t>
        </is>
      </c>
      <c r="AY116" s="100" t="inlineStr">
        <is>
          <t>None</t>
        </is>
      </c>
      <c r="AZ116" s="105" t="n"/>
      <c r="BA116" s="101" t="n">
        <v>12.99</v>
      </c>
      <c r="BB116" s="101" t="n">
        <v>12.49</v>
      </c>
      <c r="BC116" s="90">
        <f>IF(AND(ISNUMBER(BA116),ISNUMBER(BB116),N(BA116)&gt;0),1-BB116/BA116,"")</f>
        <v/>
      </c>
      <c r="BD116" s="102" t="n">
        <v>48776</v>
      </c>
      <c r="BE116" s="102" t="n">
        <v>53752</v>
      </c>
      <c r="BF116" s="103">
        <f>IF(AND(ISNUMBER(BD116),ISNUMBER(BE116),N(BE116)&gt;0),BD116/BE116,"")</f>
        <v/>
      </c>
      <c r="BG116" s="100" t="inlineStr">
        <is>
          <t>N</t>
        </is>
      </c>
      <c r="BH116" s="100" t="inlineStr">
        <is>
          <t>List Price $15.99</t>
        </is>
      </c>
    </row>
    <row r="117" ht="62" customHeight="1">
      <c r="A117" s="38" t="inlineStr">
        <is>
          <t>COMING SOON</t>
        </is>
      </c>
      <c r="B117" s="86" t="inlineStr">
        <is>
          <t>Bedsure</t>
        </is>
      </c>
      <c r="C117" s="32" t="inlineStr">
        <is>
          <t>Satin Fitted Sheet</t>
        </is>
      </c>
      <c r="D117" s="86" t="inlineStr">
        <is>
          <t>Poor</t>
        </is>
      </c>
      <c r="E117" s="87" t="inlineStr">
        <is>
          <t>B0DG238XCM</t>
        </is>
      </c>
      <c r="F117" s="87" t="inlineStr">
        <is>
          <t>B0DG2HRZKK</t>
        </is>
      </c>
      <c r="G117" s="86" t="n"/>
      <c r="H117" s="86" t="n"/>
      <c r="I117" s="88" t="n"/>
      <c r="J117" s="32" t="inlineStr"/>
      <c r="K117" s="89" t="n">
        <v>21.95</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Size not stated - vs our Queen. Ours live: Helium 10 Xray, 2026-10-13; 11 children</t>
        </is>
      </c>
      <c r="R117" s="88" t="n">
        <v>732930</v>
      </c>
      <c r="S117" s="88" t="n">
        <v>5</v>
      </c>
      <c r="T117" s="93">
        <f>IF(AND(ISNUMBER(K117),ISNUMBER(S117)),K117*S117*52/12,"")</f>
        <v/>
      </c>
      <c r="U117" s="94" t="n">
        <v>4.5</v>
      </c>
      <c r="V117" s="88" t="n">
        <v>223</v>
      </c>
      <c r="W117" s="95" t="n">
        <v>46279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unknown</t>
        </is>
      </c>
      <c r="AS117" s="105" t="n"/>
      <c r="AT117" s="104" t="n"/>
      <c r="AU117" s="104" t="n"/>
      <c r="AV117" s="105" t="n"/>
      <c r="AW117" s="105" t="n"/>
      <c r="AX117" s="98" t="inlineStr">
        <is>
          <t>2026-10-13 23:44:22</t>
        </is>
      </c>
      <c r="AY117" s="100" t="inlineStr">
        <is>
          <t>Prime Exclusive Discount</t>
        </is>
      </c>
      <c r="AZ117" s="100" t="inlineStr">
        <is>
          <t>11-01 to 12-05</t>
        </is>
      </c>
      <c r="BA117" s="101" t="n">
        <v>15.99</v>
      </c>
      <c r="BB117" s="101" t="n">
        <v>9.99</v>
      </c>
      <c r="BC117" s="90">
        <f>IF(AND(ISNUMBER(BA117),ISNUMBER(BB117),N(BA117)&gt;0),1-BB117/BA117,"")</f>
        <v/>
      </c>
      <c r="BD117" s="102" t="n">
        <v>150319</v>
      </c>
      <c r="BE117" s="102" t="n">
        <v>149700</v>
      </c>
      <c r="BF117" s="103">
        <f>IF(AND(ISNUMBER(BD117),ISNUMBER(BE117),N(BE117)&gt;0),BD117/BE117,"")</f>
        <v/>
      </c>
      <c r="BG117" s="100" t="inlineStr">
        <is>
          <t>N</t>
        </is>
      </c>
      <c r="BH117" s="100" t="inlineStr">
        <is>
          <t>Prime Exclusive already running before BFCM week; List Price $24.99</t>
        </is>
      </c>
    </row>
    <row r="118" ht="62" customHeight="1">
      <c r="A118" s="10">
        <f>_xlfn.IMAGE("https://m.media-amazon.com/images/I/61La30TgAgL._AC_SL1500_.jpg")</f>
        <v/>
      </c>
      <c r="B118" s="86" t="inlineStr">
        <is>
          <t>Lirex</t>
        </is>
      </c>
      <c r="C118" s="32" t="inlineStr">
        <is>
          <t>Satin Fitted Sheet</t>
        </is>
      </c>
      <c r="D118" s="86" t="inlineStr">
        <is>
          <t>Poor</t>
        </is>
      </c>
      <c r="E118" s="87" t="inlineStr">
        <is>
          <t>B0D62YKYKZ</t>
        </is>
      </c>
      <c r="F118" s="87" t="inlineStr">
        <is>
          <t>B0D62TQYPX</t>
        </is>
      </c>
      <c r="G118" s="86" t="inlineStr">
        <is>
          <t>Twin</t>
        </is>
      </c>
      <c r="H118" s="86" t="inlineStr">
        <is>
          <t>Light Grey</t>
        </is>
      </c>
      <c r="I118" s="88" t="n"/>
      <c r="J118" s="32" t="inlineStr"/>
      <c r="K118" s="89" t="n">
        <v>12.99</v>
      </c>
      <c r="L118" s="89" t="n"/>
      <c r="M118" s="90">
        <f>IF(AND(ISNUMBER(L118),ISNUMBER(K118),N(K118)&gt;0),L118/K118-1,"")</f>
        <v/>
      </c>
      <c r="N118" s="91">
        <f>IF(M118="","No List Price",IF(M118&lt;=0,"At/below price",IF(M118&lt;=0.12,"&lt;=12% STR zone",IF(M118&lt;=0.25,"12-25%","&gt;25% over"))))</f>
        <v/>
      </c>
      <c r="O118" s="89" t="n">
        <v>19.95</v>
      </c>
      <c r="P118" s="92">
        <f>IF(AND(ISNUMBER(K118),ISNUMBER(O118),N(O118)&gt;0),K118/O118-1,"")</f>
        <v/>
      </c>
      <c r="Q118" s="32" t="inlineStr">
        <is>
          <t>Same size (Twin). Ours live: Helium 10 Xray, 2026-10-13; 15 children</t>
        </is>
      </c>
      <c r="R118" s="88" t="n">
        <v>308243</v>
      </c>
      <c r="S118" s="88" t="n">
        <v>5</v>
      </c>
      <c r="T118" s="93">
        <f>IF(AND(ISNUMBER(K118),ISNUMBER(S118)),K118*S118*52/12,"")</f>
        <v/>
      </c>
      <c r="U118" s="94" t="n">
        <v>4.5</v>
      </c>
      <c r="V118" s="88" t="n">
        <v>733</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12.99</v>
      </c>
      <c r="AV118" s="98" t="inlineStr">
        <is>
          <t>none</t>
        </is>
      </c>
      <c r="AW118" s="98" t="inlineStr">
        <is>
          <t>Y</t>
        </is>
      </c>
      <c r="AX118" s="98" t="inlineStr">
        <is>
          <t>2026-10-13 23:44:31</t>
        </is>
      </c>
      <c r="AY118" s="100" t="inlineStr">
        <is>
          <t>Prime Exclusive Discount</t>
        </is>
      </c>
      <c r="AZ118" s="100" t="inlineStr">
        <is>
          <t>11-26 to 12-01</t>
        </is>
      </c>
      <c r="BA118" s="101" t="n">
        <v>11.69</v>
      </c>
      <c r="BB118" s="101" t="n">
        <v>9.98</v>
      </c>
      <c r="BC118" s="90">
        <f>IF(AND(ISNUMBER(BA118),ISNUMBER(BB118),N(BA118)&gt;0),1-BB118/BA118,"")</f>
        <v/>
      </c>
      <c r="BD118" s="102" t="n">
        <v>244532</v>
      </c>
      <c r="BE118" s="102" t="n">
        <v>240261</v>
      </c>
      <c r="BF118" s="103">
        <f>IF(AND(ISNUMBER(BD118),ISNUMBER(BE118),N(BE118)&gt;0),BD118/BE118,"")</f>
        <v/>
      </c>
      <c r="BG118" s="100" t="inlineStr">
        <is>
          <t>N</t>
        </is>
      </c>
      <c r="BH118" s="100" t="inlineStr">
        <is>
          <t>Buy Box RAISED in BFCM week (median $12.99 vs $11.69 before); List Price $12.99</t>
        </is>
      </c>
    </row>
    <row r="119" ht="62" customHeight="1">
      <c r="A119" s="10">
        <f>_xlfn.IMAGE("https://m.media-amazon.com/images/I/71KXVgjEKtL._AC_SL1500_.jpg")</f>
        <v/>
      </c>
      <c r="B119" s="86" t="inlineStr">
        <is>
          <t>Love's cabin</t>
        </is>
      </c>
      <c r="C119" s="32" t="inlineStr">
        <is>
          <t>Satin Fitted Sheet</t>
        </is>
      </c>
      <c r="D119" s="86" t="inlineStr">
        <is>
          <t>Poor</t>
        </is>
      </c>
      <c r="E119" s="87" t="inlineStr">
        <is>
          <t>B0DWSHT8CF</t>
        </is>
      </c>
      <c r="F119" s="87" t="inlineStr">
        <is>
          <t>B0DWSK45RC</t>
        </is>
      </c>
      <c r="G119" s="86" t="inlineStr">
        <is>
          <t>Queen</t>
        </is>
      </c>
      <c r="H119" s="86" t="inlineStr">
        <is>
          <t>White</t>
        </is>
      </c>
      <c r="I119" s="88" t="n"/>
      <c r="J119" s="32" t="inlineStr"/>
      <c r="K119" s="89" t="n">
        <v>18.38</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11 children</t>
        </is>
      </c>
      <c r="R119" s="88" t="n">
        <v>1112453</v>
      </c>
      <c r="S119" s="88" t="n">
        <v>5</v>
      </c>
      <c r="T119" s="93">
        <f>IF(AND(ISNUMBER(K119),ISNUMBER(S119)),K119*S119*52/12,"")</f>
        <v/>
      </c>
      <c r="U119" s="94" t="n">
        <v>4.3</v>
      </c>
      <c r="V119" s="88" t="n">
        <v>81</v>
      </c>
      <c r="W119" s="95" t="n">
        <v>46307</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23:44:34</t>
        </is>
      </c>
      <c r="AY119" s="100" t="inlineStr">
        <is>
          <t>Prime Exclusive Discount</t>
        </is>
      </c>
      <c r="AZ119" s="100" t="inlineStr">
        <is>
          <t>11-02 to 12-05</t>
        </is>
      </c>
      <c r="BA119" s="101" t="n">
        <v>16.99</v>
      </c>
      <c r="BB119" s="101" t="n">
        <v>13.29</v>
      </c>
      <c r="BC119" s="90">
        <f>IF(AND(ISNUMBER(BA119),ISNUMBER(BB119),N(BA119)&gt;0),1-BB119/BA119,"")</f>
        <v/>
      </c>
      <c r="BD119" s="102" t="n">
        <v>146793</v>
      </c>
      <c r="BE119" s="102" t="n">
        <v>155068</v>
      </c>
      <c r="BF119" s="103">
        <f>IF(AND(ISNUMBER(BD119),ISNUMBER(BE119),N(BE119)&gt;0),BD119/BE119,"")</f>
        <v/>
      </c>
      <c r="BG119" s="100" t="inlineStr">
        <is>
          <t>N</t>
        </is>
      </c>
      <c r="BH119" s="100" t="inlineStr">
        <is>
          <t>Prime Exclusive already running before BFCM week; List Price $16.99</t>
        </is>
      </c>
    </row>
    <row r="120" ht="62" customHeight="1">
      <c r="A120" s="10">
        <f>_xlfn.IMAGE("https://m.media-amazon.com/images/I/71dQwvMkQ+L._AC_SL1500_.jpg")</f>
        <v/>
      </c>
      <c r="B120" s="86" t="inlineStr">
        <is>
          <t>P Pothuiny</t>
        </is>
      </c>
      <c r="C120" s="32" t="inlineStr">
        <is>
          <t>Satin Fitted Sheet</t>
        </is>
      </c>
      <c r="D120" s="86" t="inlineStr">
        <is>
          <t>Poor</t>
        </is>
      </c>
      <c r="E120" s="87" t="inlineStr">
        <is>
          <t>B09W5W7VCC</t>
        </is>
      </c>
      <c r="F120" s="87" t="inlineStr">
        <is>
          <t>B09W5W7VCC</t>
        </is>
      </c>
      <c r="G120" s="86" t="n"/>
      <c r="H120" s="86" t="inlineStr">
        <is>
          <t>Ivory White</t>
        </is>
      </c>
      <c r="I120" s="88" t="n"/>
      <c r="J120" s="32" t="inlineStr"/>
      <c r="K120" s="89" t="n">
        <v>12.99</v>
      </c>
      <c r="L120" s="89" t="n"/>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Size not stated - vs our Queen. Ours live: Helium 10 Xray, 2026-10-13; 11 children</t>
        </is>
      </c>
      <c r="R120" s="88" t="n"/>
      <c r="S120" s="88" t="n">
        <v>5</v>
      </c>
      <c r="T120" s="93">
        <f>IF(AND(ISNUMBER(K120),ISNUMBER(S120)),K120*S120*52/12,"")</f>
        <v/>
      </c>
      <c r="U120" s="94" t="n">
        <v>4.4</v>
      </c>
      <c r="V120" s="88" t="n">
        <v>8</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104" t="n"/>
      <c r="AV120" s="98" t="inlineStr">
        <is>
          <t>none</t>
        </is>
      </c>
      <c r="AW120" s="98" t="inlineStr">
        <is>
          <t>N</t>
        </is>
      </c>
      <c r="AX120" s="98" t="inlineStr">
        <is>
          <t>2026-10-13 23:44:40</t>
        </is>
      </c>
      <c r="AY120" s="105" t="n"/>
      <c r="AZ120" s="105" t="n"/>
      <c r="BA120" s="104" t="n"/>
      <c r="BB120" s="104" t="n"/>
      <c r="BC120" s="90">
        <f>IF(AND(ISNUMBER(BA120),ISNUMBER(BB120),N(BA120)&gt;0),1-BB120/BA120,"")</f>
        <v/>
      </c>
      <c r="BD120" s="102" t="n">
        <v>256063</v>
      </c>
      <c r="BE120" s="102" t="n">
        <v>184931</v>
      </c>
      <c r="BF120" s="103">
        <f>IF(AND(ISNUMBER(BD120),ISNUMBER(BE120),N(BE120)&gt;0),BD120/BE120,"")</f>
        <v/>
      </c>
      <c r="BG120" s="100" t="inlineStr">
        <is>
          <t>Y</t>
        </is>
      </c>
      <c r="BH120" s="100" t="inlineStr">
        <is>
          <t>No Buy Box history in Keepa for BFCM 2025; List Price $19.99</t>
        </is>
      </c>
    </row>
    <row r="121" ht="62" customHeight="1">
      <c r="A121" s="10">
        <f>_xlfn.IMAGE("https://images-na.ssl-images-amazon.com/images/I/71ujt2CgaQL.jpg")</f>
        <v/>
      </c>
      <c r="B121" s="86" t="inlineStr">
        <is>
          <t>BEDELITE</t>
        </is>
      </c>
      <c r="C121" s="32" t="inlineStr">
        <is>
          <t>BEDELITE Satin Sheets Queen Size Bed Set, Black, 4 Pieces</t>
        </is>
      </c>
      <c r="D121" s="86" t="inlineStr">
        <is>
          <t>Untiered</t>
        </is>
      </c>
      <c r="E121" s="87" t="inlineStr">
        <is>
          <t>B0FNMNMZ9T</t>
        </is>
      </c>
      <c r="F121" s="87" t="inlineStr">
        <is>
          <t>B0CSFTRP2X</t>
        </is>
      </c>
      <c r="G121" s="86" t="inlineStr">
        <is>
          <t>Queen</t>
        </is>
      </c>
      <c r="H121" s="86" t="inlineStr">
        <is>
          <t>Black</t>
        </is>
      </c>
      <c r="I121" s="88" t="n">
        <v>141</v>
      </c>
      <c r="J121" s="32" t="inlineStr">
        <is>
          <t>B0CSFTRP2X (57%), B0CSFW9QKP (14%), B0CSFTZ5B9 (14%)</t>
        </is>
      </c>
      <c r="K121" s="89" t="n">
        <v>17.99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11 children</t>
        </is>
      </c>
      <c r="R121" s="88" t="n">
        <v>497</v>
      </c>
      <c r="S121" s="88" t="n">
        <v>1963</v>
      </c>
      <c r="T121" s="93">
        <f>IF(AND(ISNUMBER(K121),ISNUMBER(S121)),K121*S121*52/12,"")</f>
        <v/>
      </c>
      <c r="U121" s="94" t="n">
        <v>4.3</v>
      </c>
      <c r="V121" s="88" t="n">
        <v>6297</v>
      </c>
      <c r="W121" s="95" t="n">
        <v>46307</v>
      </c>
      <c r="X121" s="95" t="n">
        <v>45307</v>
      </c>
      <c r="Y121" s="86" t="inlineStr">
        <is>
          <t>FBA</t>
        </is>
      </c>
      <c r="Z121" s="86" t="inlineStr">
        <is>
          <t>CN</t>
        </is>
      </c>
      <c r="AA121" s="88" t="n">
        <v>997443</v>
      </c>
      <c r="AB121" s="88" t="n">
        <v>3432</v>
      </c>
      <c r="AC121" s="96" t="n">
        <v>0.8161266415223724</v>
      </c>
      <c r="AD121" s="96" t="n">
        <v>0.1838733681022371</v>
      </c>
      <c r="AE121" s="32" t="inlineStr">
        <is>
          <t>silk sheets</t>
        </is>
      </c>
      <c r="AF121" s="96" t="n">
        <v>0.7623814092634867</v>
      </c>
      <c r="AG121" s="96" t="n">
        <v>0.2406603685624141</v>
      </c>
      <c r="AH121" s="96" t="n">
        <v>0.1818179083917577</v>
      </c>
      <c r="AI121" s="96" t="n">
        <v>0.3718648584430388</v>
      </c>
      <c r="AJ121" s="88" t="n">
        <v>514</v>
      </c>
      <c r="AK121" s="88" t="n">
        <v>120</v>
      </c>
      <c r="AL121" s="88" t="n">
        <v>367</v>
      </c>
      <c r="AM121" s="88" t="n">
        <v>2918</v>
      </c>
      <c r="AN121" s="88" t="n">
        <v>308</v>
      </c>
      <c r="AO121" s="88" t="n">
        <v>1</v>
      </c>
      <c r="AP121" s="97" t="n">
        <v>1.114785561378903</v>
      </c>
      <c r="AQ121" s="92" t="n">
        <v>0.3117365084274004</v>
      </c>
      <c r="AR121" s="98" t="inlineStr">
        <is>
          <t>Y</t>
        </is>
      </c>
      <c r="AS121" s="98" t="inlineStr">
        <is>
          <t>List Price</t>
        </is>
      </c>
      <c r="AT121" s="99" t="n">
        <v>19.99</v>
      </c>
      <c r="AU121" s="99" t="n">
        <v>17.99</v>
      </c>
      <c r="AV121" s="98" t="inlineStr">
        <is>
          <t>none</t>
        </is>
      </c>
      <c r="AW121" s="98" t="inlineStr">
        <is>
          <t>Y</t>
        </is>
      </c>
      <c r="AX121" s="98" t="inlineStr">
        <is>
          <t>2026-10-13 12:12:27</t>
        </is>
      </c>
      <c r="AY121" s="100" t="inlineStr">
        <is>
          <t>Price cut only</t>
        </is>
      </c>
      <c r="AZ121" s="100" t="inlineStr">
        <is>
          <t>11-20 to 12-01</t>
        </is>
      </c>
      <c r="BA121" s="101" t="n">
        <v>17.99</v>
      </c>
      <c r="BB121" s="101" t="n">
        <v>17.09</v>
      </c>
      <c r="BC121" s="90">
        <f>IF(AND(ISNUMBER(BA121),ISNUMBER(BB121),N(BA121)&gt;0),1-BB121/BA121,"")</f>
        <v/>
      </c>
      <c r="BD121" s="102" t="n">
        <v>714</v>
      </c>
      <c r="BE121" s="102" t="n">
        <v>473</v>
      </c>
      <c r="BF121" s="103">
        <f>IF(AND(ISNUMBER(BD121),ISNUMBER(BE121),N(BE121)&gt;0),BD121/BE121,"")</f>
        <v/>
      </c>
      <c r="BG121" s="100" t="inlineStr">
        <is>
          <t>N</t>
        </is>
      </c>
      <c r="BH121" s="100" t="inlineStr">
        <is>
          <t>Prime Exclusive 11-01 to 12-05; Prime Exclusive already running before BFCM week; List Price $23.99</t>
        </is>
      </c>
    </row>
    <row r="122" ht="62" customHeight="1">
      <c r="A122" s="10">
        <f>_xlfn.IMAGE("https://images-na.ssl-images-amazon.com/images/I/81C-fXI71XL.jpg")</f>
        <v/>
      </c>
      <c r="B122" s="86" t="inlineStr">
        <is>
          <t>Love's cabin</t>
        </is>
      </c>
      <c r="C122" s="32" t="inlineStr">
        <is>
          <t>Love's cabin Satin Queen Sheets Set, 4 Pieces, Pink, 15" Deep Pocket</t>
        </is>
      </c>
      <c r="D122" s="86" t="inlineStr">
        <is>
          <t>Untiered</t>
        </is>
      </c>
      <c r="E122" s="87" t="inlineStr">
        <is>
          <t>B08DHTB63X</t>
        </is>
      </c>
      <c r="F122" s="87" t="inlineStr">
        <is>
          <t>B0BNMC5G8R</t>
        </is>
      </c>
      <c r="G122" s="86" t="inlineStr">
        <is>
          <t>Queen</t>
        </is>
      </c>
      <c r="H122" s="86" t="inlineStr">
        <is>
          <t>Pink</t>
        </is>
      </c>
      <c r="I122" s="88" t="n">
        <v>128</v>
      </c>
      <c r="J122" s="32" t="inlineStr">
        <is>
          <t>B0BNMC5G8R (45%), B0BNMCRSC6 (13%), B0CM5NFXX1 (9%), B0BNMVM5VM (5%), B0BNMD8S97 (4%)</t>
        </is>
      </c>
      <c r="K122" s="89" t="n">
        <v>16.13</v>
      </c>
      <c r="L122" s="89" t="n">
        <v>19.99</v>
      </c>
      <c r="M122" s="90">
        <f>IF(AND(ISNUMBER(L122),ISNUMBER(K122),N(K122)&gt;0),L122/K122-1,"")</f>
        <v/>
      </c>
      <c r="N122" s="91">
        <f>IF(M122="","No List Price",IF(M122&lt;=0,"At/below price",IF(M122&lt;=0.12,"&lt;=12% STR zone",IF(M122&lt;=0.25,"12-25%","&gt;25% over"))))</f>
        <v/>
      </c>
      <c r="O122" s="89" t="n">
        <v>21.95</v>
      </c>
      <c r="P122" s="92">
        <f>IF(AND(ISNUMBER(K122),ISNUMBER(O122),N(O122)&gt;0),K122/O122-1,"")</f>
        <v/>
      </c>
      <c r="Q122" s="32" t="inlineStr">
        <is>
          <t>Same size (Queen). Ours live: Helium 10 Xray, 2026-10-13; 11 children</t>
        </is>
      </c>
      <c r="R122" s="88" t="n">
        <v>949</v>
      </c>
      <c r="S122" s="88" t="n">
        <v>809</v>
      </c>
      <c r="T122" s="93">
        <f>IF(AND(ISNUMBER(K122),ISNUMBER(S122)),K122*S122*52/12,"")</f>
        <v/>
      </c>
      <c r="U122" s="94" t="n">
        <v>4.5</v>
      </c>
      <c r="V122" s="88" t="n">
        <v>5747</v>
      </c>
      <c r="W122" s="95" t="n">
        <v>46307</v>
      </c>
      <c r="X122" s="95" t="n">
        <v>44895</v>
      </c>
      <c r="Y122" s="86" t="inlineStr">
        <is>
          <t>FBA</t>
        </is>
      </c>
      <c r="Z122" s="86" t="inlineStr">
        <is>
          <t>CN</t>
        </is>
      </c>
      <c r="AA122" s="88" t="n">
        <v>385363</v>
      </c>
      <c r="AB122" s="88" t="n">
        <v>3599</v>
      </c>
      <c r="AC122" s="96" t="n">
        <v>0.8181775938530695</v>
      </c>
      <c r="AD122" s="96" t="n">
        <v>0.1818224144507905</v>
      </c>
      <c r="AE122" s="32" t="inlineStr">
        <is>
          <t>silk sheets</t>
        </is>
      </c>
      <c r="AF122" s="96" t="n">
        <v>0.8853963665427143</v>
      </c>
      <c r="AG122" s="96" t="n">
        <v>0.6095447668821345</v>
      </c>
      <c r="AH122" s="96" t="n">
        <v>0.07642664189348744</v>
      </c>
      <c r="AI122" s="96" t="n">
        <v>0.06371395281851137</v>
      </c>
      <c r="AJ122" s="88" t="n">
        <v>506</v>
      </c>
      <c r="AK122" s="88" t="n">
        <v>126</v>
      </c>
      <c r="AL122" s="88" t="n">
        <v>335</v>
      </c>
      <c r="AM122" s="88" t="n">
        <v>3093</v>
      </c>
      <c r="AN122" s="88" t="n">
        <v>375</v>
      </c>
      <c r="AO122" s="88" t="n">
        <v>5</v>
      </c>
      <c r="AP122" s="97" t="n">
        <v>1.036399938565504</v>
      </c>
      <c r="AQ122" s="92" t="n">
        <v>-0.1336111472848027</v>
      </c>
      <c r="AR122" s="98" t="inlineStr">
        <is>
          <t>Y</t>
        </is>
      </c>
      <c r="AS122" s="98" t="inlineStr">
        <is>
          <t>List Price</t>
        </is>
      </c>
      <c r="AT122" s="99" t="n">
        <v>19.99</v>
      </c>
      <c r="AU122" s="99" t="n">
        <v>16.13</v>
      </c>
      <c r="AV122" s="98" t="inlineStr">
        <is>
          <t>Limited time deal</t>
        </is>
      </c>
      <c r="AW122" s="98" t="inlineStr">
        <is>
          <t>Y</t>
        </is>
      </c>
      <c r="AX122" s="98" t="inlineStr">
        <is>
          <t>2026-10-13 12:13:15</t>
        </is>
      </c>
      <c r="AY122" s="100" t="inlineStr">
        <is>
          <t>Prime Exclusive Discount</t>
        </is>
      </c>
      <c r="AZ122" s="100" t="inlineStr">
        <is>
          <t>11-10 to 12-05</t>
        </is>
      </c>
      <c r="BA122" s="101" t="n">
        <v>17.99</v>
      </c>
      <c r="BB122" s="101" t="n">
        <v>17.99</v>
      </c>
      <c r="BC122" s="90">
        <f>IF(AND(ISNUMBER(BA122),ISNUMBER(BB122),N(BA122)&gt;0),1-BB122/BA122,"")</f>
        <v/>
      </c>
      <c r="BD122" s="102" t="n">
        <v>1276</v>
      </c>
      <c r="BE122" s="102" t="n">
        <v>1515</v>
      </c>
      <c r="BF122" s="103">
        <f>IF(AND(ISNUMBER(BD122),ISNUMBER(BE122),N(BE122)&gt;0),BD122/BE122,"")</f>
        <v/>
      </c>
      <c r="BG122" s="100" t="inlineStr">
        <is>
          <t>N</t>
        </is>
      </c>
      <c r="BH122" s="100" t="inlineStr">
        <is>
          <t>Prime Exclusive already running before BFCM week; List Price $25.99</t>
        </is>
      </c>
    </row>
    <row r="123" ht="62" customHeight="1">
      <c r="A123" s="10">
        <f>_xlfn.IMAGE("https://images-na.ssl-images-amazon.com/images/I/71zGuoeuSrL.jpg")</f>
        <v/>
      </c>
      <c r="B123" s="86" t="inlineStr">
        <is>
          <t>MR&amp;HM</t>
        </is>
      </c>
      <c r="C123" s="32" t="inlineStr">
        <is>
          <t>MR&amp;HM Satin Sheets Queen Size with Elastic Corner Straps, Black</t>
        </is>
      </c>
      <c r="D123" s="86" t="inlineStr">
        <is>
          <t>Untiered</t>
        </is>
      </c>
      <c r="E123" s="87" t="inlineStr">
        <is>
          <t>B08NQ3W7PG</t>
        </is>
      </c>
      <c r="F123" s="87" t="inlineStr">
        <is>
          <t>B08HM6WT6X</t>
        </is>
      </c>
      <c r="G123" s="86" t="inlineStr">
        <is>
          <t>Queen</t>
        </is>
      </c>
      <c r="H123" s="86" t="inlineStr">
        <is>
          <t>Black</t>
        </is>
      </c>
      <c r="I123" s="88" t="n">
        <v>183</v>
      </c>
      <c r="J123" s="32" t="inlineStr">
        <is>
          <t>B08HM6WT6X (40%), B0D2CQ6VNT (13%), B08PS3HDFL (10%), B08HM65Z68 (8%), B08HLT8R9M (6%)</t>
        </is>
      </c>
      <c r="K123" s="89" t="n">
        <v>19.99</v>
      </c>
      <c r="L123" s="89" t="n"/>
      <c r="M123" s="90">
        <f>IF(AND(ISNUMBER(L123),ISNUMBER(K123),N(K123)&gt;0),L123/K123-1,"")</f>
        <v/>
      </c>
      <c r="N123" s="91">
        <f>IF(M123="","No List Price",IF(M123&lt;=0,"At/below price",IF(M123&lt;=0.12,"&lt;=12% STR zone",IF(M123&lt;=0.25,"12-25%","&gt;25% over"))))</f>
        <v/>
      </c>
      <c r="O123" s="89" t="n">
        <v>21.95</v>
      </c>
      <c r="P123" s="92">
        <f>IF(AND(ISNUMBER(K123),ISNUMBER(O123),N(O123)&gt;0),K123/O123-1,"")</f>
        <v/>
      </c>
      <c r="Q123" s="32" t="inlineStr">
        <is>
          <t>Same size (Queen). Ours live: Helium 10 Xray, 2026-10-13; 11 children</t>
        </is>
      </c>
      <c r="R123" s="88" t="n">
        <v>2025</v>
      </c>
      <c r="S123" s="88" t="n">
        <v>809</v>
      </c>
      <c r="T123" s="93">
        <f>IF(AND(ISNUMBER(K123),ISNUMBER(S123)),K123*S123*52/12,"")</f>
        <v/>
      </c>
      <c r="U123" s="94" t="n">
        <v>4.4</v>
      </c>
      <c r="V123" s="88" t="n">
        <v>17886</v>
      </c>
      <c r="W123" s="95" t="n">
        <v>46307</v>
      </c>
      <c r="X123" s="95" t="n">
        <v>44081</v>
      </c>
      <c r="Y123" s="86" t="inlineStr">
        <is>
          <t>FBA</t>
        </is>
      </c>
      <c r="Z123" s="86" t="inlineStr">
        <is>
          <t>HK</t>
        </is>
      </c>
      <c r="AA123" s="88" t="n">
        <v>356457</v>
      </c>
      <c r="AB123" s="88" t="n">
        <v>3352</v>
      </c>
      <c r="AC123" s="96" t="n">
        <v>0.7964633734223203</v>
      </c>
      <c r="AD123" s="96" t="n">
        <v>0.2035367432817982</v>
      </c>
      <c r="AE123" s="32" t="inlineStr">
        <is>
          <t>silk sheets</t>
        </is>
      </c>
      <c r="AF123" s="96" t="n">
        <v>0.839254103580516</v>
      </c>
      <c r="AG123" s="96" t="n"/>
      <c r="AH123" s="96" t="n"/>
      <c r="AI123" s="96" t="n">
        <v>0.1362268099658584</v>
      </c>
      <c r="AJ123" s="88" t="n">
        <v>527</v>
      </c>
      <c r="AK123" s="88" t="n">
        <v>147</v>
      </c>
      <c r="AL123" s="88" t="n">
        <v>333</v>
      </c>
      <c r="AM123" s="88" t="n">
        <v>2825</v>
      </c>
      <c r="AN123" s="88" t="n">
        <v>329</v>
      </c>
      <c r="AO123" s="88" t="n">
        <v>8</v>
      </c>
      <c r="AP123" s="97" t="n">
        <v>0.9844138242602214</v>
      </c>
      <c r="AQ123" s="92" t="n">
        <v>0.1594370096908169</v>
      </c>
      <c r="AR123" s="98" t="inlineStr">
        <is>
          <t>Y</t>
        </is>
      </c>
      <c r="AS123" s="98" t="inlineStr">
        <is>
          <t>List Price</t>
        </is>
      </c>
      <c r="AT123" s="99" t="n">
        <v>28.99</v>
      </c>
      <c r="AU123" s="99" t="n">
        <v>19.99</v>
      </c>
      <c r="AV123" s="98" t="inlineStr">
        <is>
          <t>none</t>
        </is>
      </c>
      <c r="AW123" s="98" t="inlineStr">
        <is>
          <t>Y</t>
        </is>
      </c>
      <c r="AX123" s="98" t="inlineStr">
        <is>
          <t>2026-10-13 12:13:22</t>
        </is>
      </c>
      <c r="AY123" s="100" t="inlineStr">
        <is>
          <t>None</t>
        </is>
      </c>
      <c r="AZ123" s="105" t="n"/>
      <c r="BA123" s="101" t="n">
        <v>17.99</v>
      </c>
      <c r="BB123" s="101" t="n">
        <v>17.99</v>
      </c>
      <c r="BC123" s="90">
        <f>IF(AND(ISNUMBER(BA123),ISNUMBER(BB123),N(BA123)&gt;0),1-BB123/BA123,"")</f>
        <v/>
      </c>
      <c r="BD123" s="102" t="n">
        <v>1500</v>
      </c>
      <c r="BE123" s="102" t="n">
        <v>1119</v>
      </c>
      <c r="BF123" s="103">
        <f>IF(AND(ISNUMBER(BD123),ISNUMBER(BE123),N(BE123)&gt;0),BD123/BE123,"")</f>
        <v/>
      </c>
      <c r="BG123" s="100" t="inlineStr">
        <is>
          <t>N</t>
        </is>
      </c>
      <c r="BH123" s="100" t="inlineStr">
        <is>
          <t>Prime Exclusive 11-01 to 12-05; Lightning Deal 11-08 to 11-14; Prime Exclusive already running before BFCM week; List Price $28.99</t>
        </is>
      </c>
    </row>
    <row r="124" ht="62" customHeight="1">
      <c r="A124" s="10">
        <f>_xlfn.IMAGE("https://m.media-amazon.com/images/I/61YnyaGH00L._AC_SL1200_.jpg")</f>
        <v/>
      </c>
      <c r="B124" s="86" t="inlineStr">
        <is>
          <t>JUWENIN</t>
        </is>
      </c>
      <c r="C124" s="32" t="inlineStr">
        <is>
          <t>Satin Fitted Sheet</t>
        </is>
      </c>
      <c r="D124" s="86" t="inlineStr">
        <is>
          <t>Untiered</t>
        </is>
      </c>
      <c r="E124" s="87" t="inlineStr">
        <is>
          <t>B0B1DX9FRV</t>
        </is>
      </c>
      <c r="F124" s="87" t="inlineStr">
        <is>
          <t>B0B1DVKHSJ</t>
        </is>
      </c>
      <c r="G124" s="86" t="inlineStr">
        <is>
          <t>Twin/TwinXL</t>
        </is>
      </c>
      <c r="H124" s="86" t="inlineStr">
        <is>
          <t>Pink</t>
        </is>
      </c>
      <c r="I124" s="88" t="n">
        <v>19</v>
      </c>
      <c r="J124" s="32" t="inlineStr">
        <is>
          <t>B0B1DTFZSQ (20%), B0B1DW72LK (16%), B0B1DZ5834 (15%), B0H2V7JR7V (12%), B0B1DWVL2V (11%)</t>
        </is>
      </c>
      <c r="K124" s="89" t="n">
        <v>9.99</v>
      </c>
      <c r="L124" s="89" t="n"/>
      <c r="M124" s="90">
        <f>IF(AND(ISNUMBER(L124),ISNUMBER(K124),N(K124)&gt;0),L124/K124-1,"")</f>
        <v/>
      </c>
      <c r="N124" s="91">
        <f>IF(M124="","No List Price",IF(M124&lt;=0,"At/below price",IF(M124&lt;=0.12,"&lt;=12% STR zone",IF(M124&lt;=0.25,"12-25%","&gt;25% over"))))</f>
        <v/>
      </c>
      <c r="O124" s="89" t="n">
        <v>19.34424242424242</v>
      </c>
      <c r="P124" s="92">
        <f>IF(AND(ISNUMBER(K124),ISNUMBER(O124),N(O124)&gt;0),K124/O124-1,"")</f>
        <v/>
      </c>
      <c r="Q124" s="32" t="inlineStr">
        <is>
          <t>vs our blended price (Command Center, Mar 2026 - STALE)</t>
        </is>
      </c>
      <c r="R124" s="88" t="n">
        <v>251642</v>
      </c>
      <c r="S124" s="88" t="n">
        <v>5</v>
      </c>
      <c r="T124" s="93">
        <f>IF(AND(ISNUMBER(K124),ISNUMBER(S124)),K124*S124*52/12,"")</f>
        <v/>
      </c>
      <c r="U124" s="94" t="n">
        <v>4.4</v>
      </c>
      <c r="V124" s="88" t="n">
        <v>256</v>
      </c>
      <c r="W124" s="95" t="n">
        <v>46307</v>
      </c>
      <c r="X124" s="95" t="n"/>
      <c r="Y124" s="86" t="n"/>
      <c r="Z124" s="86" t="n"/>
      <c r="AA124" s="88" t="n">
        <v>2799</v>
      </c>
      <c r="AB124" s="88" t="n">
        <v>183</v>
      </c>
      <c r="AC124" s="96" t="n">
        <v>0.9278307967131119</v>
      </c>
      <c r="AD124" s="96" t="n">
        <v>0.07216920328688817</v>
      </c>
      <c r="AE124" s="32" t="inlineStr">
        <is>
          <t>black satin sheets</t>
        </is>
      </c>
      <c r="AF124" s="96" t="n">
        <v>0.05216148624508753</v>
      </c>
      <c r="AG124" s="96" t="n"/>
      <c r="AH124" s="96" t="n"/>
      <c r="AI124" s="96" t="n"/>
      <c r="AJ124" s="88" t="n">
        <v>148</v>
      </c>
      <c r="AK124" s="88" t="n">
        <v>119</v>
      </c>
      <c r="AL124" s="88" t="n">
        <v>19</v>
      </c>
      <c r="AM124" s="88" t="n">
        <v>35</v>
      </c>
      <c r="AN124" s="88" t="n">
        <v>2</v>
      </c>
      <c r="AO124" s="88" t="n">
        <v>0</v>
      </c>
      <c r="AP124" s="97" t="n"/>
      <c r="AQ124" s="92" t="n"/>
      <c r="AR124" s="98" t="inlineStr">
        <is>
          <t>N</t>
        </is>
      </c>
      <c r="AS124" s="98" t="inlineStr">
        <is>
          <t>none</t>
        </is>
      </c>
      <c r="AT124" s="104" t="n"/>
      <c r="AU124" s="99" t="n">
        <v>9.99</v>
      </c>
      <c r="AV124" s="98" t="inlineStr">
        <is>
          <t>none</t>
        </is>
      </c>
      <c r="AW124" s="98" t="inlineStr">
        <is>
          <t>Y</t>
        </is>
      </c>
      <c r="AX124" s="98" t="inlineStr">
        <is>
          <t>2026-10-13 23:44:28</t>
        </is>
      </c>
      <c r="AY124" s="105" t="n"/>
      <c r="AZ124" s="105" t="n"/>
      <c r="BA124" s="104" t="n"/>
      <c r="BB124" s="104" t="n"/>
      <c r="BC124" s="90">
        <f>IF(AND(ISNUMBER(BA124),ISNUMBER(BB124),N(BA124)&gt;0),1-BB124/BA124,"")</f>
        <v/>
      </c>
      <c r="BD124" s="102" t="n">
        <v>214156</v>
      </c>
      <c r="BE124" s="102" t="n">
        <v>253912</v>
      </c>
      <c r="BF124" s="103">
        <f>IF(AND(ISNUMBER(BD124),ISNUMBER(BE124),N(BE124)&gt;0),BD124/BE124,"")</f>
        <v/>
      </c>
      <c r="BG124" s="100" t="inlineStr">
        <is>
          <t>Y</t>
        </is>
      </c>
      <c r="BH124" s="100" t="inlineStr">
        <is>
          <t>No Buy Box history in Keepa for BFCM 2025</t>
        </is>
      </c>
    </row>
    <row r="126" ht="20" customHeight="1">
      <c r="A126" s="53" t="inlineStr">
        <is>
          <t>5 · WHAT THIS MEANS FOR BFCM</t>
        </is>
      </c>
    </row>
    <row r="127" ht="30" customHeight="1">
      <c r="A127" s="107" t="inlineStr">
        <is>
          <t>•  Who sells most: BEDELITE ~1,963/wk at $17.99; Love's cabin ~809/wk at $16.13 (List $19.99, +24%); MR&amp;HM ~809/wk at $19.99; BEDELITE ~208/wk at $13.99; BEDELITE ~208/wk at $15.98 (List $19.99, +25%). Tracked rivals ~4,248 units/wk; we sell ~190/wk (4.3% of the tracked set).</t>
        </is>
      </c>
    </row>
    <row r="128" ht="18" customHeight="1">
      <c r="A128" s="107" t="inlineStr">
        <is>
          <t>•  Strikethrough: 2 of 14 rivals set a List Price above price; 0 within 12%.</t>
        </is>
      </c>
    </row>
    <row r="129" ht="18" customHeight="1">
      <c r="A129" s="107" t="inlineStr">
        <is>
          <t>•  Price: 13 of 14 rivals sit below our price today (same size where the title states one). Cheapest strong rivals: Homiest $12.99, BEDELITE $13.99, BEDELITE $15.98, VACVELT $17.99.</t>
        </is>
      </c>
    </row>
    <row r="130" ht="30" customHeight="1">
      <c r="A130"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1" ht="30" customHeight="1">
      <c r="A131"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2" ht="18" customHeight="1">
      <c r="A132" s="107" t="inlineStr">
        <is>
          <t>•  Brand ads: Love's cabin (SB 61%, SBV 8%) hold Sponsored Brands / video on most of their traffic - the plan has our SB, SBV and display live by Nov 1.</t>
        </is>
      </c>
    </row>
    <row r="133" ht="18" customHeight="1">
      <c r="A133" s="107" t="inlineStr">
        <is>
          <t>•  Our BFCM 2025: 2.47x daily sales in BFCM week vs the 30 days before; TACoS 7.8% vs 11.2% before; December 1.51x.</t>
        </is>
      </c>
    </row>
    <row r="134" ht="18" customHeight="1">
      <c r="A134" s="107" t="inlineStr">
        <is>
          <t>•  Prime Day 2026: our organic visibility 1.08x vs rivals' median 1.12x (n=8) - rivals gained more event visibility than we did.</t>
        </is>
      </c>
    </row>
    <row r="135" ht="30" customHeight="1">
      <c r="A135" s="107" t="inlineStr">
        <is>
          <t>•  BFCM 2025, 12 rivals with Keepa history: Prime Exclusive Discount 7, None 3, Price cut only 2. Median depth vs their Nov 1-19 price 6%; median BSR lift 1.01x. 3 raised their Buy Box in BFCM week, so their deal looked deeper than it was.</t>
        </is>
      </c>
    </row>
    <row r="136" ht="18" customHeight="1">
      <c r="A136" s="107" t="inlineStr">
        <is>
          <t>•  2 rivals not in the Keepa pulls yet (yellow BFCM 2025 columns) - remaining P2 batches, AGENT_PROMPTS Prompt 2.</t>
        </is>
      </c>
    </row>
  </sheetData>
  <autoFilter ref="B110:BH124"/>
  <mergeCells count="77">
    <mergeCell ref="A89:C89"/>
    <mergeCell ref="A1:BH1"/>
    <mergeCell ref="A103:BH103"/>
    <mergeCell ref="L8:Q8"/>
    <mergeCell ref="A13:D13"/>
    <mergeCell ref="A87:BH87"/>
    <mergeCell ref="L10:Q10"/>
    <mergeCell ref="Q13:T13"/>
    <mergeCell ref="A128:BH128"/>
    <mergeCell ref="A91:C91"/>
    <mergeCell ref="A136:BH136"/>
    <mergeCell ref="A4:B9"/>
    <mergeCell ref="A105:BH105"/>
    <mergeCell ref="X109:Z109"/>
    <mergeCell ref="A93:C93"/>
    <mergeCell ref="D5:I5"/>
    <mergeCell ref="D6:I6"/>
    <mergeCell ref="A130:BH130"/>
    <mergeCell ref="L5:Q5"/>
    <mergeCell ref="A132:BH132"/>
    <mergeCell ref="Q11:T11"/>
    <mergeCell ref="A95:C95"/>
    <mergeCell ref="L4:Q4"/>
    <mergeCell ref="D7:I7"/>
    <mergeCell ref="AR109:AX109"/>
    <mergeCell ref="I13:L13"/>
    <mergeCell ref="D4:I4"/>
    <mergeCell ref="E12:H12"/>
    <mergeCell ref="A133:BH133"/>
    <mergeCell ref="Q12:T12"/>
    <mergeCell ref="A11:D11"/>
    <mergeCell ref="A96:C96"/>
    <mergeCell ref="A3:BH3"/>
    <mergeCell ref="D8:I8"/>
    <mergeCell ref="A104:BH104"/>
    <mergeCell ref="A97:BH97"/>
    <mergeCell ref="M13:P13"/>
    <mergeCell ref="AA109:AQ109"/>
    <mergeCell ref="A15:BH15"/>
    <mergeCell ref="A107:BH107"/>
    <mergeCell ref="A16:BH16"/>
    <mergeCell ref="A99:BH99"/>
    <mergeCell ref="A108:BH108"/>
    <mergeCell ref="D9:I9"/>
    <mergeCell ref="I11:L11"/>
    <mergeCell ref="A101:BH101"/>
    <mergeCell ref="L6:Q6"/>
    <mergeCell ref="M11:P11"/>
    <mergeCell ref="AY109:BH109"/>
    <mergeCell ref="A126:BH126"/>
    <mergeCell ref="A135:BH135"/>
    <mergeCell ref="E13:H13"/>
    <mergeCell ref="D10:I10"/>
    <mergeCell ref="L7:Q7"/>
    <mergeCell ref="A109:H109"/>
    <mergeCell ref="A134:BH134"/>
    <mergeCell ref="A12:D12"/>
    <mergeCell ref="U13:X13"/>
    <mergeCell ref="A88:C88"/>
    <mergeCell ref="M12:P12"/>
    <mergeCell ref="A127:BH127"/>
    <mergeCell ref="A90:C90"/>
    <mergeCell ref="A98:BH98"/>
    <mergeCell ref="L9:Q9"/>
    <mergeCell ref="T6:Y6"/>
    <mergeCell ref="A129:BH129"/>
    <mergeCell ref="U11:X11"/>
    <mergeCell ref="A131:BH131"/>
    <mergeCell ref="A100:BH100"/>
    <mergeCell ref="K109:W109"/>
    <mergeCell ref="T5:Y5"/>
    <mergeCell ref="A94:C94"/>
    <mergeCell ref="I12:L12"/>
    <mergeCell ref="A102:BH102"/>
    <mergeCell ref="T4:Y4"/>
    <mergeCell ref="U12:X12"/>
    <mergeCell ref="E11:H11"/>
  </mergeCells>
  <conditionalFormatting sqref="N111:N124">
    <cfRule type="expression" priority="1" dxfId="1">
      <formula>N111="&lt;=12% STR zone"</formula>
    </cfRule>
  </conditionalFormatting>
  <conditionalFormatting sqref="W111:W124">
    <cfRule type="expression" priority="2" dxfId="0">
      <formula>AND(ISNUMBER(W111),W111&lt;DATE(2026,10,6))</formula>
    </cfRule>
  </conditionalFormatting>
  <conditionalFormatting sqref="Q111:Q124">
    <cfRule type="expression" priority="3" dxfId="0">
      <formula>ISNUMBER(SEARCH("STALE",Q111))</formula>
    </cfRule>
  </conditionalFormatting>
  <conditionalFormatting sqref="P111:P124">
    <cfRule type="expression" priority="4" dxfId="0">
      <formula>AND(ISNUMBER(P111),P111&lt;0)</formula>
    </cfRule>
  </conditionalFormatting>
  <dataValidations count="3">
    <dataValidation sqref="AR111:AR124 BG111:BG124" showDropDown="0" showInputMessage="0" showErrorMessage="0" allowBlank="1" type="list">
      <formula1>"Y,N"</formula1>
    </dataValidation>
    <dataValidation sqref="AS111:AS124" showDropDown="0" showInputMessage="0" showErrorMessage="0" allowBlank="1" type="list">
      <formula1>"List Price,Typical price,Was price,None"</formula1>
    </dataValidation>
    <dataValidation sqref="AY111:AY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1" r:id="rId2"/>
    <hyperlink xmlns:r="http://schemas.openxmlformats.org/officeDocument/2006/relationships" ref="F111" r:id="rId3"/>
    <hyperlink xmlns:r="http://schemas.openxmlformats.org/officeDocument/2006/relationships" ref="E112" r:id="rId4"/>
    <hyperlink xmlns:r="http://schemas.openxmlformats.org/officeDocument/2006/relationships" ref="F112" r:id="rId5"/>
    <hyperlink xmlns:r="http://schemas.openxmlformats.org/officeDocument/2006/relationships" ref="E113" r:id="rId6"/>
    <hyperlink xmlns:r="http://schemas.openxmlformats.org/officeDocument/2006/relationships" ref="F113" r:id="rId7"/>
    <hyperlink xmlns:r="http://schemas.openxmlformats.org/officeDocument/2006/relationships" ref="E114" r:id="rId8"/>
    <hyperlink xmlns:r="http://schemas.openxmlformats.org/officeDocument/2006/relationships" ref="F114" r:id="rId9"/>
    <hyperlink xmlns:r="http://schemas.openxmlformats.org/officeDocument/2006/relationships" ref="E115" r:id="rId10"/>
    <hyperlink xmlns:r="http://schemas.openxmlformats.org/officeDocument/2006/relationships" ref="F115" r:id="rId11"/>
    <hyperlink xmlns:r="http://schemas.openxmlformats.org/officeDocument/2006/relationships" ref="E116" r:id="rId12"/>
    <hyperlink xmlns:r="http://schemas.openxmlformats.org/officeDocument/2006/relationships" ref="F116" r:id="rId13"/>
    <hyperlink xmlns:r="http://schemas.openxmlformats.org/officeDocument/2006/relationships" ref="E117" r:id="rId14"/>
    <hyperlink xmlns:r="http://schemas.openxmlformats.org/officeDocument/2006/relationships" ref="F117" r:id="rId15"/>
    <hyperlink xmlns:r="http://schemas.openxmlformats.org/officeDocument/2006/relationships" ref="E118" r:id="rId16"/>
    <hyperlink xmlns:r="http://schemas.openxmlformats.org/officeDocument/2006/relationships" ref="F118" r:id="rId17"/>
    <hyperlink xmlns:r="http://schemas.openxmlformats.org/officeDocument/2006/relationships" ref="E119" r:id="rId18"/>
    <hyperlink xmlns:r="http://schemas.openxmlformats.org/officeDocument/2006/relationships" ref="F119" r:id="rId19"/>
    <hyperlink xmlns:r="http://schemas.openxmlformats.org/officeDocument/2006/relationships" ref="E120" r:id="rId20"/>
    <hyperlink xmlns:r="http://schemas.openxmlformats.org/officeDocument/2006/relationships" ref="F120" r:id="rId21"/>
    <hyperlink xmlns:r="http://schemas.openxmlformats.org/officeDocument/2006/relationships" ref="E121" r:id="rId22"/>
    <hyperlink xmlns:r="http://schemas.openxmlformats.org/officeDocument/2006/relationships" ref="F121" r:id="rId23"/>
    <hyperlink xmlns:r="http://schemas.openxmlformats.org/officeDocument/2006/relationships" ref="E122" r:id="rId24"/>
    <hyperlink xmlns:r="http://schemas.openxmlformats.org/officeDocument/2006/relationships" ref="F122" r:id="rId25"/>
    <hyperlink xmlns:r="http://schemas.openxmlformats.org/officeDocument/2006/relationships" ref="E123" r:id="rId26"/>
    <hyperlink xmlns:r="http://schemas.openxmlformats.org/officeDocument/2006/relationships" ref="F123" r:id="rId27"/>
    <hyperlink xmlns:r="http://schemas.openxmlformats.org/officeDocument/2006/relationships" ref="E124" r:id="rId28"/>
    <hyperlink xmlns:r="http://schemas.openxmlformats.org/officeDocument/2006/relationships" ref="F124"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Satin Fitted Sheet  ·  Amazon.ca (CA)  ·  Satin  ·  BFCM role: Opportunistic  ·  Scope: Core</t>
        </is>
      </c>
    </row>
    <row r="2">
      <c r="A2" s="52" t="inlineStr">
        <is>
          <t>← Dashboard</t>
        </is>
      </c>
    </row>
    <row r="3" ht="20" customHeight="1">
      <c r="A3" s="53"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4" t="inlineStr">
        <is>
          <t>Full, King, Queen, Twin</t>
        </is>
      </c>
      <c r="S4" s="11" t="inlineStr">
        <is>
          <t>Break-even ACoS</t>
        </is>
      </c>
      <c r="T4" s="54" t="inlineStr">
        <is>
          <t>28%</t>
        </is>
      </c>
    </row>
    <row r="5" ht="22" customHeight="1">
      <c r="C5" s="11" t="inlineStr">
        <is>
          <t>Brand</t>
        </is>
      </c>
      <c r="D5" s="54" t="inlineStr">
        <is>
          <t>Decolure</t>
        </is>
      </c>
      <c r="K5" s="11" t="inlineStr">
        <is>
          <t>Colours</t>
        </is>
      </c>
      <c r="L5" s="54" t="inlineStr">
        <is>
          <t>Baby Blue, Black, Blush Pink, Dark Green, Gold, Grey, Ivory, Lavender, Navy Blue, Pink, Purple, Red, Rosewood, Sage Green, Sea Teal, Stone Grey, White</t>
        </is>
      </c>
      <c r="S5" s="11" t="inlineStr">
        <is>
          <t>Units last 28 days</t>
        </is>
      </c>
      <c r="T5" s="54" t="inlineStr">
        <is>
          <t>204</t>
        </is>
      </c>
    </row>
    <row r="6" ht="22" customHeight="1">
      <c r="C6" s="11" t="inlineStr">
        <is>
          <t>Marketplace</t>
        </is>
      </c>
      <c r="D6" s="54" t="inlineStr">
        <is>
          <t>Amazon.ca (CA)</t>
        </is>
      </c>
      <c r="K6" s="11" t="inlineStr">
        <is>
          <t>Price now, best child</t>
        </is>
      </c>
      <c r="L6" s="54" t="inlineStr">
        <is>
          <t>$22.95 (Helium 10 Xray (Amazon.ca, CAD), 2026-10-14)</t>
        </is>
      </c>
      <c r="S6" s="11" t="inlineStr">
        <is>
          <t>Command Center product ASIN</t>
        </is>
      </c>
      <c r="T6" s="54" t="inlineStr">
        <is>
          <t>B0DBVZV66D (one of our child ASINs, not the Amazon parent)</t>
        </is>
      </c>
    </row>
    <row r="7" ht="22" customHeight="1">
      <c r="C7" s="11" t="inlineStr">
        <is>
          <t>Parent ASIN (Amazon)</t>
        </is>
      </c>
      <c r="D7" s="54" t="inlineStr">
        <is>
          <t>B0FQC9C5QT</t>
        </is>
      </c>
      <c r="K7" s="11" t="inlineStr">
        <is>
          <t>Rating / reviews now</t>
        </is>
      </c>
      <c r="L7" s="54" t="inlineStr">
        <is>
          <t>4.4 / 1,265 (Helium 10 Xray (Amazon.ca, CAD), 2026-10-14)</t>
        </is>
      </c>
    </row>
    <row r="8" ht="22" customHeight="1">
      <c r="C8" s="11" t="inlineStr">
        <is>
          <t>Best-selling child ASIN</t>
        </is>
      </c>
      <c r="D8" s="54" t="inlineStr">
        <is>
          <t>B0DBW1PNJ8</t>
        </is>
      </c>
      <c r="K8" s="11" t="inlineStr">
        <is>
          <t>Live prices held</t>
        </is>
      </c>
      <c r="L8" s="54" t="inlineStr">
        <is>
          <t>55 of 68 variations</t>
        </is>
      </c>
    </row>
    <row r="9" ht="22" customHeight="1">
      <c r="C9" s="11" t="inlineStr">
        <is>
          <t>Stage</t>
        </is>
      </c>
      <c r="D9" s="54" t="inlineStr">
        <is>
          <t>Maintenance</t>
        </is>
      </c>
      <c r="K9" s="11" t="inlineStr">
        <is>
          <t>Blended price (Command Center)</t>
        </is>
      </c>
      <c r="L9" s="54" t="inlineStr">
        <is>
          <t>$26.10 - fee feed as of 2026-03-30, STALE</t>
        </is>
      </c>
    </row>
    <row r="10">
      <c r="C10" s="11" t="inlineStr">
        <is>
          <t>Total variations (SKUs)</t>
        </is>
      </c>
      <c r="D10" s="54" t="n">
        <v>68</v>
      </c>
      <c r="K10" s="11" t="inlineStr">
        <is>
          <t>Contribution / unit</t>
        </is>
      </c>
      <c r="L10" s="54" t="inlineStr">
        <is>
          <t>$7.26</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STRIKETHROUGH SHOWN</t>
        </is>
      </c>
    </row>
    <row r="12" ht="24" customHeight="1">
      <c r="A12" s="56" t="inlineStr">
        <is>
          <t>0.74x</t>
        </is>
      </c>
      <c r="E12" s="56" t="inlineStr">
        <is>
          <t>1.3%</t>
        </is>
      </c>
      <c r="I12" s="56" t="inlineStr">
        <is>
          <t>0.76x</t>
        </is>
      </c>
      <c r="M12" s="56" t="inlineStr">
        <is>
          <t>15</t>
        </is>
      </c>
      <c r="Q12" s="56" t="inlineStr">
        <is>
          <t>5</t>
        </is>
      </c>
      <c r="U12" s="56" t="inlineStr">
        <is>
          <t>1 of 15</t>
        </is>
      </c>
    </row>
    <row r="13">
      <c r="A13" s="57" t="inlineStr">
        <is>
          <t>daily sales, BFCM wk vs 30 days before (SellerBoard actual)</t>
        </is>
      </c>
      <c r="E13" s="57" t="inlineStr">
        <is>
          <t>vs 0.0% before</t>
        </is>
      </c>
      <c r="I13" s="57" t="inlineStr">
        <is>
          <t>December daily sales vs Oct 21-Nov 19</t>
        </is>
      </c>
      <c r="M13" s="57" t="inlineStr">
        <is>
          <t>Amazon.ca page research</t>
        </is>
      </c>
      <c r="Q13" s="57" t="inlineStr">
        <is>
          <t>same size, else vs our Queen</t>
        </is>
      </c>
      <c r="U13" s="57" t="inlineStr">
        <is>
          <t>on the Amazon.ca page, Oct 13</t>
        </is>
      </c>
    </row>
    <row r="15" ht="20" customHeight="1">
      <c r="A15" s="53" t="inlineStr">
        <is>
          <t>2 · OUR VARIATIONS (68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59" t="n">
        <v>22.95</v>
      </c>
      <c r="H18" s="32" t="inlineStr">
        <is>
          <t>Helium 10 Xray (Amazon.ca, CAD), 2026-10-14</t>
        </is>
      </c>
      <c r="I18" s="60" t="n">
        <v>22.95</v>
      </c>
      <c r="J18" s="61" t="inlineStr">
        <is>
          <t>2026-03-30</t>
        </is>
      </c>
      <c r="K18" s="33" t="n">
        <v>7.289999999999997</v>
      </c>
      <c r="L18" s="62" t="n">
        <v>0.3176470588235293</v>
      </c>
      <c r="M18" s="63" t="n">
        <v>18</v>
      </c>
      <c r="N18" s="32" t="inlineStr">
        <is>
          <t>Active</t>
        </is>
      </c>
      <c r="O18" s="32" t="n"/>
      <c r="P18" s="64" t="n">
        <v>4.4</v>
      </c>
      <c r="Q18" s="63" t="n">
        <v>1265</v>
      </c>
      <c r="R18" s="63" t="n">
        <v>10424</v>
      </c>
      <c r="S18" s="63"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59" t="n">
        <v>22.95</v>
      </c>
      <c r="H19" s="32" t="inlineStr">
        <is>
          <t>Helium 10 Xray (Amazon.ca, CAD), 2026-10-14</t>
        </is>
      </c>
      <c r="I19" s="60" t="n">
        <v>22.95</v>
      </c>
      <c r="J19" s="61" t="inlineStr">
        <is>
          <t>2026-03-30</t>
        </is>
      </c>
      <c r="K19" s="33" t="n">
        <v>-0.08000000000000185</v>
      </c>
      <c r="L19" s="62" t="n">
        <v>-0.3485838779956508</v>
      </c>
      <c r="M19" s="63" t="n">
        <v>12</v>
      </c>
      <c r="N19" s="32" t="inlineStr">
        <is>
          <t>Active</t>
        </is>
      </c>
      <c r="O19" s="32" t="n"/>
      <c r="P19" s="64" t="n">
        <v>4.4</v>
      </c>
      <c r="Q19" s="63" t="n">
        <v>1265</v>
      </c>
      <c r="R19" s="63" t="n">
        <v>10424</v>
      </c>
      <c r="S19" s="63"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59" t="n">
        <v>20.95</v>
      </c>
      <c r="H20" s="32" t="inlineStr">
        <is>
          <t>Helium 10 Xray (Amazon.ca, CAD), 2026-10-14</t>
        </is>
      </c>
      <c r="I20" s="60" t="n">
        <v>20.95</v>
      </c>
      <c r="J20" s="61" t="inlineStr">
        <is>
          <t>2026-03-30</t>
        </is>
      </c>
      <c r="K20" s="33" t="n">
        <v>6.449999999999998</v>
      </c>
      <c r="L20" s="62" t="n">
        <v>0.3078758949880668</v>
      </c>
      <c r="M20" s="63" t="n">
        <v>12</v>
      </c>
      <c r="N20" s="32" t="inlineStr">
        <is>
          <t>Active</t>
        </is>
      </c>
      <c r="O20" s="32" t="n"/>
      <c r="P20" s="64" t="n">
        <v>4.4</v>
      </c>
      <c r="Q20" s="63" t="n">
        <v>1265</v>
      </c>
      <c r="R20" s="63" t="n">
        <v>10424</v>
      </c>
      <c r="S20" s="63"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59" t="n">
        <v>23.95</v>
      </c>
      <c r="H21" s="32" t="inlineStr">
        <is>
          <t>Helium 10 Xray (Amazon.ca, CAD), 2026-10-14</t>
        </is>
      </c>
      <c r="I21" s="60" t="n">
        <v>31.23</v>
      </c>
      <c r="J21" s="61" t="inlineStr">
        <is>
          <t>2026-03-30</t>
        </is>
      </c>
      <c r="K21" s="33" t="n">
        <v>7.810000000000001</v>
      </c>
      <c r="L21" s="62" t="n">
        <v>0.250080051232789</v>
      </c>
      <c r="M21" s="63" t="n">
        <v>10</v>
      </c>
      <c r="N21" s="32" t="inlineStr">
        <is>
          <t>Active</t>
        </is>
      </c>
      <c r="O21" s="32" t="n"/>
      <c r="P21" s="64" t="n">
        <v>4.4</v>
      </c>
      <c r="Q21" s="63" t="n">
        <v>1265</v>
      </c>
      <c r="R21" s="63" t="n">
        <v>10392</v>
      </c>
      <c r="S21" s="63"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59" t="n">
        <v>23.95</v>
      </c>
      <c r="H22" s="32" t="inlineStr">
        <is>
          <t>Helium 10 Xray (Amazon.ca, CAD), 2026-10-14</t>
        </is>
      </c>
      <c r="I22" s="60" t="n">
        <v>23.95</v>
      </c>
      <c r="J22" s="61" t="inlineStr">
        <is>
          <t>2026-03-30</t>
        </is>
      </c>
      <c r="K22" s="33" t="n">
        <v>7.8</v>
      </c>
      <c r="L22" s="62" t="n">
        <v>0.325678496868476</v>
      </c>
      <c r="M22" s="63" t="n">
        <v>9</v>
      </c>
      <c r="N22" s="32" t="inlineStr">
        <is>
          <t>Active</t>
        </is>
      </c>
      <c r="O22" s="32" t="n"/>
      <c r="P22" s="64" t="n">
        <v>4.4</v>
      </c>
      <c r="Q22" s="63" t="n">
        <v>1265</v>
      </c>
      <c r="R22" s="63" t="n">
        <v>10424</v>
      </c>
      <c r="S22" s="63"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59" t="n">
        <v>22.95</v>
      </c>
      <c r="H23" s="32" t="inlineStr">
        <is>
          <t>Helium 10 Xray (Amazon.ca, CAD), 2026-10-14</t>
        </is>
      </c>
      <c r="I23" s="60" t="n">
        <v>22.95</v>
      </c>
      <c r="J23" s="61" t="inlineStr">
        <is>
          <t>2026-03-30</t>
        </is>
      </c>
      <c r="K23" s="33" t="n">
        <v>7.199999999999998</v>
      </c>
      <c r="L23" s="62" t="n">
        <v>0.3137254901960784</v>
      </c>
      <c r="M23" s="63" t="n">
        <v>8</v>
      </c>
      <c r="N23" s="32" t="inlineStr">
        <is>
          <t>Active</t>
        </is>
      </c>
      <c r="O23" s="32" t="n"/>
      <c r="P23" s="64" t="n">
        <v>4.4</v>
      </c>
      <c r="Q23" s="63" t="n">
        <v>1265</v>
      </c>
      <c r="R23" s="63" t="n">
        <v>10424</v>
      </c>
      <c r="S23" s="63"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59" t="n">
        <v>22.95</v>
      </c>
      <c r="H24" s="32" t="inlineStr">
        <is>
          <t>Helium 10 Xray (Amazon.ca, CAD), 2026-10-14</t>
        </is>
      </c>
      <c r="I24" s="60" t="n">
        <v>30.04</v>
      </c>
      <c r="J24" s="61" t="inlineStr">
        <is>
          <t>2026-03-30</t>
        </is>
      </c>
      <c r="K24" s="33" t="n">
        <v>7.66</v>
      </c>
      <c r="L24" s="62" t="n">
        <v>0.2549933422103862</v>
      </c>
      <c r="M24" s="63" t="n">
        <v>8</v>
      </c>
      <c r="N24" s="32" t="inlineStr">
        <is>
          <t>Active</t>
        </is>
      </c>
      <c r="O24" s="32" t="n"/>
      <c r="P24" s="64" t="n">
        <v>4.4</v>
      </c>
      <c r="Q24" s="63" t="n">
        <v>1265</v>
      </c>
      <c r="R24" s="63" t="n">
        <v>10424</v>
      </c>
      <c r="S24" s="63"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59" t="n">
        <v>23.95</v>
      </c>
      <c r="H25" s="32" t="inlineStr">
        <is>
          <t>Helium 10 Xray (Amazon.ca, CAD), 2026-10-14</t>
        </is>
      </c>
      <c r="I25" s="60" t="n">
        <v>23.95</v>
      </c>
      <c r="J25" s="61" t="inlineStr">
        <is>
          <t>2026-03-30</t>
        </is>
      </c>
      <c r="K25" s="33" t="n">
        <v>7.279999999999999</v>
      </c>
      <c r="L25" s="62" t="n">
        <v>0.3039665970772442</v>
      </c>
      <c r="M25" s="63" t="n">
        <v>7</v>
      </c>
      <c r="N25" s="32" t="inlineStr">
        <is>
          <t>Active</t>
        </is>
      </c>
      <c r="O25" s="32" t="n"/>
      <c r="P25" s="64" t="n">
        <v>4.4</v>
      </c>
      <c r="Q25" s="63" t="n">
        <v>1265</v>
      </c>
      <c r="R25" s="63" t="n">
        <v>10424</v>
      </c>
      <c r="S25" s="63"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59" t="n">
        <v>23.95</v>
      </c>
      <c r="H26" s="32" t="inlineStr">
        <is>
          <t>Helium 10 Xray (Amazon.ca, CAD), 2026-10-14</t>
        </is>
      </c>
      <c r="I26" s="60" t="n">
        <v>31.14</v>
      </c>
      <c r="J26" s="61" t="inlineStr">
        <is>
          <t>2026-03-30</t>
        </is>
      </c>
      <c r="K26" s="33" t="n">
        <v>8.119999999999999</v>
      </c>
      <c r="L26" s="62" t="n">
        <v>0.2607578676942838</v>
      </c>
      <c r="M26" s="63" t="n">
        <v>7</v>
      </c>
      <c r="N26" s="32" t="inlineStr">
        <is>
          <t>Active</t>
        </is>
      </c>
      <c r="O26" s="32" t="n"/>
      <c r="P26" s="64" t="n">
        <v>4.4</v>
      </c>
      <c r="Q26" s="63" t="n">
        <v>1265</v>
      </c>
      <c r="R26" s="63" t="n">
        <v>10424</v>
      </c>
      <c r="S26" s="63"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59" t="n">
        <v>20.95</v>
      </c>
      <c r="H27" s="32" t="inlineStr">
        <is>
          <t>Helium 10 Xray (Amazon.ca, CAD), 2026-10-14</t>
        </is>
      </c>
      <c r="I27" s="60" t="n">
        <v>20.95</v>
      </c>
      <c r="J27" s="61" t="inlineStr">
        <is>
          <t>2026-03-30</t>
        </is>
      </c>
      <c r="K27" s="33" t="n">
        <v>6.449999999999998</v>
      </c>
      <c r="L27" s="62" t="n">
        <v>0.3078758949880668</v>
      </c>
      <c r="M27" s="63" t="n">
        <v>7</v>
      </c>
      <c r="N27" s="32" t="inlineStr">
        <is>
          <t>Active</t>
        </is>
      </c>
      <c r="O27" s="32" t="n"/>
      <c r="P27" s="64" t="n">
        <v>4.4</v>
      </c>
      <c r="Q27" s="63" t="n">
        <v>1265</v>
      </c>
      <c r="R27" s="63" t="n">
        <v>10424</v>
      </c>
      <c r="S27" s="63"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59" t="n">
        <v>24.95</v>
      </c>
      <c r="H28" s="32" t="inlineStr">
        <is>
          <t>Helium 10 Xray (Amazon.ca, CAD), 2026-10-14</t>
        </is>
      </c>
      <c r="I28" s="60" t="n">
        <v>32.66</v>
      </c>
      <c r="J28" s="61" t="inlineStr">
        <is>
          <t>2026-03-30</t>
        </is>
      </c>
      <c r="K28" s="33" t="n">
        <v>8.879999999999999</v>
      </c>
      <c r="L28" s="62" t="n">
        <v>0.2718922229026332</v>
      </c>
      <c r="M28" s="63" t="n">
        <v>5</v>
      </c>
      <c r="N28" s="32" t="inlineStr">
        <is>
          <t>Active</t>
        </is>
      </c>
      <c r="O28" s="32" t="n"/>
      <c r="P28" s="64" t="n">
        <v>4.4</v>
      </c>
      <c r="Q28" s="63" t="n">
        <v>1265</v>
      </c>
      <c r="R28" s="63" t="n">
        <v>10424</v>
      </c>
      <c r="S28" s="63"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59" t="n">
        <v>24.95</v>
      </c>
      <c r="H29" s="32" t="inlineStr">
        <is>
          <t>Helium 10 Xray (Amazon.ca, CAD), 2026-10-14</t>
        </is>
      </c>
      <c r="I29" s="60" t="n">
        <v>32.8</v>
      </c>
      <c r="J29" s="61" t="inlineStr">
        <is>
          <t>2026-03-30</t>
        </is>
      </c>
      <c r="K29" s="33" t="n">
        <v>8.999999999999996</v>
      </c>
      <c r="L29" s="62" t="n">
        <v>0.2743902439024389</v>
      </c>
      <c r="M29" s="63" t="n">
        <v>5</v>
      </c>
      <c r="N29" s="32" t="inlineStr">
        <is>
          <t>Active</t>
        </is>
      </c>
      <c r="O29" s="32" t="n"/>
      <c r="P29" s="64" t="n">
        <v>4.4</v>
      </c>
      <c r="Q29" s="63" t="n">
        <v>1265</v>
      </c>
      <c r="R29" s="63" t="n">
        <v>10424</v>
      </c>
      <c r="S29" s="63"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59" t="n">
        <v>20.95</v>
      </c>
      <c r="H30" s="32" t="inlineStr">
        <is>
          <t>Helium 10 Xray (Amazon.ca, CAD), 2026-10-14</t>
        </is>
      </c>
      <c r="I30" s="60" t="n">
        <v>27.71</v>
      </c>
      <c r="J30" s="61" t="inlineStr">
        <is>
          <t>2026-03-30</t>
        </is>
      </c>
      <c r="K30" s="33" t="n">
        <v>6.99</v>
      </c>
      <c r="L30" s="62" t="n">
        <v>0.2522555034283652</v>
      </c>
      <c r="M30" s="63" t="n">
        <v>5</v>
      </c>
      <c r="N30" s="32" t="inlineStr">
        <is>
          <t>Active</t>
        </is>
      </c>
      <c r="O30" s="32" t="n"/>
      <c r="P30" s="64" t="n">
        <v>4.4</v>
      </c>
      <c r="Q30" s="63" t="n">
        <v>1265</v>
      </c>
      <c r="R30" s="63" t="n">
        <v>10424</v>
      </c>
      <c r="S30" s="63"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59" t="n">
        <v>22.95</v>
      </c>
      <c r="H31" s="32" t="inlineStr">
        <is>
          <t>Helium 10 Xray (Amazon.ca, CAD), 2026-10-14</t>
        </is>
      </c>
      <c r="I31" s="60" t="n">
        <v>30.04</v>
      </c>
      <c r="J31" s="61" t="inlineStr">
        <is>
          <t>2026-03-30</t>
        </is>
      </c>
      <c r="K31" s="33" t="n">
        <v>8.31</v>
      </c>
      <c r="L31" s="62" t="n">
        <v>0.2766311584553928</v>
      </c>
      <c r="M31" s="63" t="n">
        <v>4</v>
      </c>
      <c r="N31" s="32" t="inlineStr">
        <is>
          <t>Active</t>
        </is>
      </c>
      <c r="O31" s="32" t="n"/>
      <c r="P31" s="64" t="n">
        <v>4.4</v>
      </c>
      <c r="Q31" s="63" t="n">
        <v>1265</v>
      </c>
      <c r="R31" s="63" t="n">
        <v>10424</v>
      </c>
      <c r="S31" s="63"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59" t="n">
        <v>23.95</v>
      </c>
      <c r="H32" s="32" t="inlineStr">
        <is>
          <t>Helium 10 Xray (Amazon.ca, CAD), 2026-10-14</t>
        </is>
      </c>
      <c r="I32" s="60" t="n">
        <v>23.95</v>
      </c>
      <c r="J32" s="61" t="inlineStr">
        <is>
          <t>2026-03-30</t>
        </is>
      </c>
      <c r="K32" s="33" t="n">
        <v>6.51</v>
      </c>
      <c r="L32" s="62" t="n">
        <v>0.2718162839248434</v>
      </c>
      <c r="M32" s="63" t="n">
        <v>4</v>
      </c>
      <c r="N32" s="32" t="inlineStr">
        <is>
          <t>Inactive</t>
        </is>
      </c>
      <c r="O32" s="32" t="n"/>
      <c r="P32" s="64" t="n">
        <v>4.4</v>
      </c>
      <c r="Q32" s="63" t="n">
        <v>1265</v>
      </c>
      <c r="R32" s="63" t="n">
        <v>10424</v>
      </c>
      <c r="S32" s="63"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59" t="n">
        <v>29.42</v>
      </c>
      <c r="H33" s="32" t="inlineStr">
        <is>
          <t>Helium 10 Xray (Amazon.ca, CAD), 2026-10-14</t>
        </is>
      </c>
      <c r="I33" s="60" t="n">
        <v>31.23</v>
      </c>
      <c r="J33" s="61" t="inlineStr">
        <is>
          <t>2026-03-30</t>
        </is>
      </c>
      <c r="K33" s="33" t="n">
        <v>8.41</v>
      </c>
      <c r="L33" s="62" t="n">
        <v>0.2692923471021454</v>
      </c>
      <c r="M33" s="63" t="n">
        <v>4</v>
      </c>
      <c r="N33" s="32" t="inlineStr">
        <is>
          <t>Active</t>
        </is>
      </c>
      <c r="O33" s="32" t="n"/>
      <c r="P33" s="64" t="n">
        <v>4.4</v>
      </c>
      <c r="Q33" s="63" t="n">
        <v>1265</v>
      </c>
      <c r="R33" s="63" t="n">
        <v>10424</v>
      </c>
      <c r="S33" s="63"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59" t="n">
        <v>23.95</v>
      </c>
      <c r="H34" s="32" t="inlineStr">
        <is>
          <t>Helium 10 Xray (Amazon.ca, CAD), 2026-10-14</t>
        </is>
      </c>
      <c r="I34" s="60" t="n">
        <v>23.95</v>
      </c>
      <c r="J34" s="61" t="inlineStr">
        <is>
          <t>2026-03-30</t>
        </is>
      </c>
      <c r="K34" s="33" t="n">
        <v>7.43</v>
      </c>
      <c r="L34" s="62" t="n">
        <v>0.3102296450939457</v>
      </c>
      <c r="M34" s="63" t="n">
        <v>4</v>
      </c>
      <c r="N34" s="32" t="inlineStr">
        <is>
          <t>Active</t>
        </is>
      </c>
      <c r="O34" s="32" t="n"/>
      <c r="P34" s="64" t="n">
        <v>4.4</v>
      </c>
      <c r="Q34" s="63" t="n">
        <v>1265</v>
      </c>
      <c r="R34" s="63" t="n">
        <v>10424</v>
      </c>
      <c r="S34" s="63"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0" t="n">
        <v>31.14</v>
      </c>
      <c r="J35" s="61" t="inlineStr">
        <is>
          <t>2026-03-30</t>
        </is>
      </c>
      <c r="K35" s="33" t="n">
        <v>8.389999999999997</v>
      </c>
      <c r="L35" s="62" t="n">
        <v>0.2694283879254977</v>
      </c>
      <c r="M35" s="63" t="n">
        <v>4</v>
      </c>
      <c r="N35" s="65" t="inlineStr">
        <is>
          <t>Not buyable on Amazon 2026-10-14: page redirects to B0DBW27P8P (Full White) - FBA stock 0 since 2026-09-29, nothing inbound (DataHub 2026-10-14)</t>
        </is>
      </c>
      <c r="O35" s="32" t="n"/>
      <c r="P35" s="64" t="n"/>
      <c r="Q35" s="63" t="n"/>
      <c r="R35" s="63" t="n"/>
      <c r="S35" s="63"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59" t="n">
        <v>22.95</v>
      </c>
      <c r="H36" s="32" t="inlineStr">
        <is>
          <t>Helium 10 Xray (Amazon.ca, CAD), 2026-10-14</t>
        </is>
      </c>
      <c r="I36" s="60" t="n">
        <v>30.01</v>
      </c>
      <c r="J36" s="61" t="inlineStr">
        <is>
          <t>2026-03-30</t>
        </is>
      </c>
      <c r="K36" s="33" t="n">
        <v>8.210000000000001</v>
      </c>
      <c r="L36" s="62" t="n">
        <v>0.2735754748417195</v>
      </c>
      <c r="M36" s="63" t="n">
        <v>3</v>
      </c>
      <c r="N36" s="32" t="inlineStr">
        <is>
          <t>Active</t>
        </is>
      </c>
      <c r="O36" s="32" t="n"/>
      <c r="P36" s="64" t="n">
        <v>4.4</v>
      </c>
      <c r="Q36" s="63" t="n">
        <v>1265</v>
      </c>
      <c r="R36" s="63" t="n">
        <v>10424</v>
      </c>
      <c r="S36" s="63"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59" t="n">
        <v>22.95</v>
      </c>
      <c r="H37" s="32" t="inlineStr">
        <is>
          <t>Helium 10 Xray (Amazon.ca, CAD), 2026-10-14</t>
        </is>
      </c>
      <c r="I37" s="60" t="n">
        <v>22.95</v>
      </c>
      <c r="J37" s="61" t="inlineStr">
        <is>
          <t>2026-03-30</t>
        </is>
      </c>
      <c r="K37" s="33" t="n">
        <v>7.499999999999997</v>
      </c>
      <c r="L37" s="62" t="n">
        <v>0.3267973856209149</v>
      </c>
      <c r="M37" s="63" t="n">
        <v>3</v>
      </c>
      <c r="N37" s="32" t="inlineStr">
        <is>
          <t>Active</t>
        </is>
      </c>
      <c r="O37" s="32" t="n"/>
      <c r="P37" s="64" t="n">
        <v>4.4</v>
      </c>
      <c r="Q37" s="63" t="n">
        <v>1265</v>
      </c>
      <c r="R37" s="63" t="n">
        <v>10424</v>
      </c>
      <c r="S37" s="63"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59" t="n">
        <v>22.95</v>
      </c>
      <c r="H38" s="32" t="inlineStr">
        <is>
          <t>Helium 10 Xray (Amazon.ca, CAD), 2026-10-14</t>
        </is>
      </c>
      <c r="I38" s="60" t="n">
        <v>22.95</v>
      </c>
      <c r="J38" s="61" t="inlineStr">
        <is>
          <t>2026-03-30</t>
        </is>
      </c>
      <c r="K38" s="33" t="n">
        <v>7.449999999999998</v>
      </c>
      <c r="L38" s="62" t="n">
        <v>0.3246187363834421</v>
      </c>
      <c r="M38" s="63" t="n">
        <v>3</v>
      </c>
      <c r="N38" s="32" t="inlineStr">
        <is>
          <t>Active</t>
        </is>
      </c>
      <c r="O38" s="32" t="n"/>
      <c r="P38" s="64" t="n">
        <v>4.4</v>
      </c>
      <c r="Q38" s="63" t="n">
        <v>1265</v>
      </c>
      <c r="R38" s="63" t="n">
        <v>10424</v>
      </c>
      <c r="S38" s="63"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59" t="n">
        <v>22.95</v>
      </c>
      <c r="H39" s="32" t="inlineStr">
        <is>
          <t>Helium 10 Xray (Amazon.ca, CAD), 2026-10-14</t>
        </is>
      </c>
      <c r="I39" s="60" t="n">
        <v>22.95</v>
      </c>
      <c r="J39" s="61" t="inlineStr">
        <is>
          <t>2026-03-30</t>
        </is>
      </c>
      <c r="K39" s="33" t="n">
        <v>7.199999999999998</v>
      </c>
      <c r="L39" s="62" t="n">
        <v>0.3137254901960784</v>
      </c>
      <c r="M39" s="63" t="n">
        <v>3</v>
      </c>
      <c r="N39" s="32" t="inlineStr">
        <is>
          <t>Active</t>
        </is>
      </c>
      <c r="O39" s="32" t="n"/>
      <c r="P39" s="64" t="n">
        <v>4.4</v>
      </c>
      <c r="Q39" s="63" t="n">
        <v>1265</v>
      </c>
      <c r="R39" s="63" t="n">
        <v>10424</v>
      </c>
      <c r="S39" s="63"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59" t="n">
        <v>22.95</v>
      </c>
      <c r="H40" s="32" t="inlineStr">
        <is>
          <t>Helium 10 Xray (Amazon.ca, CAD), 2026-10-14</t>
        </is>
      </c>
      <c r="I40" s="60" t="n">
        <v>22.95</v>
      </c>
      <c r="J40" s="61" t="inlineStr">
        <is>
          <t>2026-03-30</t>
        </is>
      </c>
      <c r="K40" s="33" t="n">
        <v>7.319999999999998</v>
      </c>
      <c r="L40" s="62" t="n">
        <v>0.318954248366013</v>
      </c>
      <c r="M40" s="63" t="n">
        <v>3</v>
      </c>
      <c r="N40" s="32" t="inlineStr">
        <is>
          <t>Active</t>
        </is>
      </c>
      <c r="O40" s="32" t="n"/>
      <c r="P40" s="64" t="n">
        <v>4.4</v>
      </c>
      <c r="Q40" s="63" t="n">
        <v>1265</v>
      </c>
      <c r="R40" s="63" t="n">
        <v>10424</v>
      </c>
      <c r="S40" s="63"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0" t="n">
        <v>31.6</v>
      </c>
      <c r="J41" s="61" t="inlineStr">
        <is>
          <t>2026-03-30</t>
        </is>
      </c>
      <c r="K41" s="33" t="n">
        <v>7.98</v>
      </c>
      <c r="L41" s="62" t="n">
        <v>0.2525316455696202</v>
      </c>
      <c r="M41" s="63" t="n">
        <v>3</v>
      </c>
      <c r="N41" s="65" t="inlineStr">
        <is>
          <t>Not buyable on Amazon 2026-10-14: page redirects to B0DBW17ZJP (Full Grey) - FBA stock 0 since 2026-09-29, nothing inbound (DataHub 2026-10-14)</t>
        </is>
      </c>
      <c r="O41" s="32" t="n"/>
      <c r="P41" s="64" t="n"/>
      <c r="Q41" s="63" t="n"/>
      <c r="R41" s="63" t="n"/>
      <c r="S41" s="63"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59" t="n">
        <v>27.95</v>
      </c>
      <c r="H42" s="32" t="inlineStr">
        <is>
          <t>Helium 10 Xray (Amazon.ca, CAD), 2026-10-14</t>
        </is>
      </c>
      <c r="I42" s="60" t="n">
        <v>27.95</v>
      </c>
      <c r="J42" s="61" t="inlineStr">
        <is>
          <t>2026-03-30</t>
        </is>
      </c>
      <c r="K42" s="33" t="n">
        <v>9.769999999999998</v>
      </c>
      <c r="L42" s="62" t="n">
        <v>0.3495527728085868</v>
      </c>
      <c r="M42" s="63" t="n">
        <v>3</v>
      </c>
      <c r="N42" s="32" t="inlineStr">
        <is>
          <t>Active</t>
        </is>
      </c>
      <c r="O42" s="32" t="n"/>
      <c r="P42" s="64" t="n">
        <v>4.4</v>
      </c>
      <c r="Q42" s="63" t="n">
        <v>1265</v>
      </c>
      <c r="R42" s="63" t="n">
        <v>10424</v>
      </c>
      <c r="S42" s="63"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59" t="n">
        <v>27.95</v>
      </c>
      <c r="H43" s="32" t="inlineStr">
        <is>
          <t>Helium 10 Xray (Amazon.ca, CAD), 2026-10-14</t>
        </is>
      </c>
      <c r="I43" s="60" t="n">
        <v>27.95</v>
      </c>
      <c r="J43" s="61" t="inlineStr">
        <is>
          <t>2026-03-30</t>
        </is>
      </c>
      <c r="K43" s="33" t="n">
        <v>10.49</v>
      </c>
      <c r="L43" s="62" t="n">
        <v>0.3753130590339893</v>
      </c>
      <c r="M43" s="63" t="n">
        <v>3</v>
      </c>
      <c r="N43" s="32" t="inlineStr">
        <is>
          <t>Active</t>
        </is>
      </c>
      <c r="O43" s="32" t="n"/>
      <c r="P43" s="64" t="n">
        <v>4.4</v>
      </c>
      <c r="Q43" s="63" t="n">
        <v>1265</v>
      </c>
      <c r="R43" s="63" t="n">
        <v>10424</v>
      </c>
      <c r="S43" s="63"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0" t="n">
        <v>24.95</v>
      </c>
      <c r="J44" s="61" t="inlineStr">
        <is>
          <t>2026-03-30</t>
        </is>
      </c>
      <c r="K44" s="33" t="n">
        <v>7.750000000000001</v>
      </c>
      <c r="L44" s="62" t="n">
        <v>0.31062124248497</v>
      </c>
      <c r="M44" s="63" t="n">
        <v>3</v>
      </c>
      <c r="N44" s="65" t="inlineStr">
        <is>
          <t>Not buyable on Amazon 2026-10-14: page redirects to B0DBVZZZ7B (Full Stone Grey) - FBA stock 0 since 2026-10-08, nothing inbound (DataHub 2026-10-14)</t>
        </is>
      </c>
      <c r="O44" s="32" t="n"/>
      <c r="P44" s="64" t="n"/>
      <c r="Q44" s="63" t="n"/>
      <c r="R44" s="63" t="n"/>
      <c r="S44" s="63"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59" t="n">
        <v>27.95</v>
      </c>
      <c r="H45" s="32" t="inlineStr">
        <is>
          <t>Helium 10 Xray (Amazon.ca, CAD), 2026-10-14</t>
        </is>
      </c>
      <c r="I45" s="60" t="n">
        <v>35.23</v>
      </c>
      <c r="J45" s="61" t="inlineStr">
        <is>
          <t>2026-03-30</t>
        </is>
      </c>
      <c r="K45" s="33" t="n">
        <v>11.61</v>
      </c>
      <c r="L45" s="62" t="n">
        <v>0.3295486801021855</v>
      </c>
      <c r="M45" s="63" t="n">
        <v>3</v>
      </c>
      <c r="N45" s="32" t="inlineStr">
        <is>
          <t>Active</t>
        </is>
      </c>
      <c r="O45" s="32" t="n"/>
      <c r="P45" s="64" t="n">
        <v>4.4</v>
      </c>
      <c r="Q45" s="63" t="n">
        <v>1265</v>
      </c>
      <c r="R45" s="63" t="n">
        <v>10424</v>
      </c>
      <c r="S45" s="63"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59" t="n">
        <v>23.95</v>
      </c>
      <c r="H46" s="32" t="inlineStr">
        <is>
          <t>Helium 10 Xray (Amazon.ca, CAD), 2026-10-14</t>
        </is>
      </c>
      <c r="I46" s="60" t="n">
        <v>23.95</v>
      </c>
      <c r="J46" s="61" t="inlineStr">
        <is>
          <t>2026-03-30</t>
        </is>
      </c>
      <c r="K46" s="33" t="n">
        <v>7.659999999999999</v>
      </c>
      <c r="L46" s="62" t="n">
        <v>0.3198329853862213</v>
      </c>
      <c r="M46" s="63" t="n">
        <v>3</v>
      </c>
      <c r="N46" s="32" t="inlineStr">
        <is>
          <t>Active</t>
        </is>
      </c>
      <c r="O46" s="32" t="n"/>
      <c r="P46" s="64" t="n">
        <v>4.4</v>
      </c>
      <c r="Q46" s="63" t="n">
        <v>1265</v>
      </c>
      <c r="R46" s="63" t="n">
        <v>10424</v>
      </c>
      <c r="S46" s="63"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59" t="n">
        <v>20.95</v>
      </c>
      <c r="H47" s="32" t="inlineStr">
        <is>
          <t>Helium 10 Xray (Amazon.ca, CAD), 2026-10-14</t>
        </is>
      </c>
      <c r="I47" s="60" t="n">
        <v>27.68</v>
      </c>
      <c r="J47" s="61" t="inlineStr">
        <is>
          <t>2026-03-30</t>
        </is>
      </c>
      <c r="K47" s="33" t="n">
        <v>7.76</v>
      </c>
      <c r="L47" s="62" t="n">
        <v>0.2803468208092486</v>
      </c>
      <c r="M47" s="63" t="n">
        <v>3</v>
      </c>
      <c r="N47" s="32" t="inlineStr">
        <is>
          <t>Active</t>
        </is>
      </c>
      <c r="O47" s="32" t="n"/>
      <c r="P47" s="64" t="n">
        <v>4.4</v>
      </c>
      <c r="Q47" s="63" t="n">
        <v>1265</v>
      </c>
      <c r="R47" s="63" t="n">
        <v>10424</v>
      </c>
      <c r="S47" s="63"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59" t="n">
        <v>20.95</v>
      </c>
      <c r="H48" s="32" t="inlineStr">
        <is>
          <t>Helium 10 Xray (Amazon.ca, CAD), 2026-10-14</t>
        </is>
      </c>
      <c r="I48" s="60" t="n">
        <v>27.71</v>
      </c>
      <c r="J48" s="61" t="inlineStr">
        <is>
          <t>2026-03-30</t>
        </is>
      </c>
      <c r="K48" s="33" t="n">
        <v>7.200000000000001</v>
      </c>
      <c r="L48" s="62" t="n">
        <v>0.2598339949476723</v>
      </c>
      <c r="M48" s="63" t="n">
        <v>3</v>
      </c>
      <c r="N48" s="32" t="inlineStr">
        <is>
          <t>Active</t>
        </is>
      </c>
      <c r="O48" s="32" t="n"/>
      <c r="P48" s="64" t="n">
        <v>4.4</v>
      </c>
      <c r="Q48" s="63" t="n">
        <v>1265</v>
      </c>
      <c r="R48" s="63" t="n">
        <v>10424</v>
      </c>
      <c r="S48" s="63"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59" t="n">
        <v>20.95</v>
      </c>
      <c r="H49" s="32" t="inlineStr">
        <is>
          <t>Helium 10 Xray (Amazon.ca, CAD), 2026-10-14</t>
        </is>
      </c>
      <c r="I49" s="60" t="n">
        <v>20.95</v>
      </c>
      <c r="J49" s="61" t="inlineStr">
        <is>
          <t>2026-03-30</t>
        </is>
      </c>
      <c r="K49" s="33" t="n">
        <v>5.319999999999999</v>
      </c>
      <c r="L49" s="62" t="n">
        <v>0.2539379474940334</v>
      </c>
      <c r="M49" s="63" t="n">
        <v>2</v>
      </c>
      <c r="N49" s="32" t="inlineStr">
        <is>
          <t>Active</t>
        </is>
      </c>
      <c r="O49" s="32" t="n"/>
      <c r="P49" s="64" t="n">
        <v>4.4</v>
      </c>
      <c r="Q49" s="63" t="n">
        <v>1265</v>
      </c>
      <c r="R49" s="63" t="n">
        <v>10424</v>
      </c>
      <c r="S49" s="63"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59" t="n">
        <v>22.95</v>
      </c>
      <c r="H50" s="32" t="inlineStr">
        <is>
          <t>Helium 10 Xray (Amazon.ca, CAD), 2026-10-14</t>
        </is>
      </c>
      <c r="I50" s="60" t="n">
        <v>22.95</v>
      </c>
      <c r="J50" s="61" t="inlineStr">
        <is>
          <t>2026-03-30</t>
        </is>
      </c>
      <c r="K50" s="33" t="n">
        <v>7.369999999999997</v>
      </c>
      <c r="L50" s="62" t="n">
        <v>0.3211328976034857</v>
      </c>
      <c r="M50" s="63" t="n">
        <v>2</v>
      </c>
      <c r="N50" s="32" t="inlineStr">
        <is>
          <t>Active</t>
        </is>
      </c>
      <c r="O50" s="32" t="n"/>
      <c r="P50" s="64" t="n">
        <v>4.4</v>
      </c>
      <c r="Q50" s="63" t="n">
        <v>1265</v>
      </c>
      <c r="R50" s="63" t="n">
        <v>10424</v>
      </c>
      <c r="S50" s="63"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59" t="n">
        <v>27.95</v>
      </c>
      <c r="H51" s="32" t="inlineStr">
        <is>
          <t>Helium 10 Xray (Amazon.ca, CAD), 2026-10-14</t>
        </is>
      </c>
      <c r="I51" s="60" t="n">
        <v>35.66</v>
      </c>
      <c r="J51" s="61" t="inlineStr">
        <is>
          <t>2026-03-30</t>
        </is>
      </c>
      <c r="K51" s="33" t="n">
        <v>10.02999999999999</v>
      </c>
      <c r="L51" s="62" t="n">
        <v>0.2812675266404934</v>
      </c>
      <c r="M51" s="63" t="n">
        <v>2</v>
      </c>
      <c r="N51" s="32" t="inlineStr">
        <is>
          <t>Active</t>
        </is>
      </c>
      <c r="O51" s="32" t="n"/>
      <c r="P51" s="64" t="n">
        <v>4.4</v>
      </c>
      <c r="Q51" s="63" t="n">
        <v>1265</v>
      </c>
      <c r="R51" s="63" t="n">
        <v>10424</v>
      </c>
      <c r="S51" s="63"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59" t="n">
        <v>27.95</v>
      </c>
      <c r="H52" s="32" t="inlineStr">
        <is>
          <t>Helium 10 Xray (Amazon.ca, CAD), 2026-10-14</t>
        </is>
      </c>
      <c r="I52" s="60" t="n">
        <v>27.95</v>
      </c>
      <c r="J52" s="61" t="inlineStr">
        <is>
          <t>2026-03-30</t>
        </is>
      </c>
      <c r="K52" s="33" t="n">
        <v>10.09</v>
      </c>
      <c r="L52" s="62" t="n">
        <v>0.3610017889087656</v>
      </c>
      <c r="M52" s="63" t="n">
        <v>2</v>
      </c>
      <c r="N52" s="32" t="inlineStr">
        <is>
          <t>Active</t>
        </is>
      </c>
      <c r="O52" s="32" t="n"/>
      <c r="P52" s="64" t="n">
        <v>4.4</v>
      </c>
      <c r="Q52" s="63" t="n">
        <v>1265</v>
      </c>
      <c r="R52" s="63" t="n">
        <v>10424</v>
      </c>
      <c r="S52" s="63"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59" t="n">
        <v>27.95</v>
      </c>
      <c r="H53" s="32" t="inlineStr">
        <is>
          <t>Helium 10 Xray (Amazon.ca, CAD), 2026-10-14</t>
        </is>
      </c>
      <c r="I53" s="60" t="n">
        <v>27.95</v>
      </c>
      <c r="J53" s="61" t="inlineStr">
        <is>
          <t>2026-03-30</t>
        </is>
      </c>
      <c r="K53" s="33" t="n">
        <v>10.38</v>
      </c>
      <c r="L53" s="62" t="n">
        <v>0.3713774597495528</v>
      </c>
      <c r="M53" s="63" t="n">
        <v>2</v>
      </c>
      <c r="N53" s="32" t="inlineStr">
        <is>
          <t>Active</t>
        </is>
      </c>
      <c r="O53" s="32" t="n"/>
      <c r="P53" s="64" t="n">
        <v>4.4</v>
      </c>
      <c r="Q53" s="63" t="n">
        <v>1265</v>
      </c>
      <c r="R53" s="63" t="n">
        <v>10424</v>
      </c>
      <c r="S53" s="63"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59" t="n">
        <v>23.95</v>
      </c>
      <c r="H54" s="32" t="inlineStr">
        <is>
          <t>Helium 10 Xray (Amazon.ca, CAD), 2026-10-14</t>
        </is>
      </c>
      <c r="I54" s="60" t="n">
        <v>31.2</v>
      </c>
      <c r="J54" s="61" t="inlineStr">
        <is>
          <t>2026-03-30</t>
        </is>
      </c>
      <c r="K54" s="33" t="n">
        <v>9.09</v>
      </c>
      <c r="L54" s="62" t="n">
        <v>0.2913461538461539</v>
      </c>
      <c r="M54" s="63" t="n">
        <v>2</v>
      </c>
      <c r="N54" s="32" t="inlineStr">
        <is>
          <t>Active</t>
        </is>
      </c>
      <c r="O54" s="32" t="n"/>
      <c r="P54" s="64" t="n">
        <v>4.4</v>
      </c>
      <c r="Q54" s="63" t="n">
        <v>1265</v>
      </c>
      <c r="R54" s="63" t="n">
        <v>10424</v>
      </c>
      <c r="S54" s="63"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0" t="n">
        <v>19.95</v>
      </c>
      <c r="J55" s="61" t="inlineStr">
        <is>
          <t>2026-03-30</t>
        </is>
      </c>
      <c r="K55" s="33" t="n">
        <v>5.040000000000001</v>
      </c>
      <c r="L55" s="62" t="n">
        <v>0.2526315789473685</v>
      </c>
      <c r="M55" s="63" t="n">
        <v>2</v>
      </c>
      <c r="N55" s="65" t="inlineStr">
        <is>
          <t>Not buyable on Amazon 2026-10-14: page redirects to B0DBW13VVR (King Black) - FBA stock 0 since 2026-10-07, nothing inbound (DataHub 2026-10-14)</t>
        </is>
      </c>
      <c r="O55" s="32" t="n"/>
      <c r="P55" s="64" t="n"/>
      <c r="Q55" s="63" t="n"/>
      <c r="R55" s="63" t="n"/>
      <c r="S55" s="63"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59" t="n">
        <v>19.95</v>
      </c>
      <c r="H56" s="32" t="inlineStr">
        <is>
          <t>Helium 10 Xray (Amazon.ca, CAD), 2026-10-14</t>
        </is>
      </c>
      <c r="I56" s="60" t="n">
        <v>19.95</v>
      </c>
      <c r="J56" s="61" t="inlineStr">
        <is>
          <t>2026-03-30</t>
        </is>
      </c>
      <c r="K56" s="33" t="n">
        <v>5.760000000000002</v>
      </c>
      <c r="L56" s="62" t="n">
        <v>0.2887218045112783</v>
      </c>
      <c r="M56" s="63" t="n">
        <v>2</v>
      </c>
      <c r="N56" s="32" t="inlineStr">
        <is>
          <t>Active</t>
        </is>
      </c>
      <c r="O56" s="32" t="n"/>
      <c r="P56" s="64" t="n">
        <v>4.4</v>
      </c>
      <c r="Q56" s="63" t="n">
        <v>1265</v>
      </c>
      <c r="R56" s="63" t="n">
        <v>10424</v>
      </c>
      <c r="S56" s="63"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59" t="n">
        <v>20.95</v>
      </c>
      <c r="H57" s="32" t="inlineStr">
        <is>
          <t>Helium 10 Xray (Amazon.ca, CAD), 2026-10-14</t>
        </is>
      </c>
      <c r="I57" s="60" t="n">
        <v>20.95</v>
      </c>
      <c r="J57" s="61" t="inlineStr">
        <is>
          <t>2026-03-30</t>
        </is>
      </c>
      <c r="K57" s="33" t="n">
        <v>6.329999999999998</v>
      </c>
      <c r="L57" s="62" t="n">
        <v>0.3021479713603818</v>
      </c>
      <c r="M57" s="63" t="n">
        <v>2</v>
      </c>
      <c r="N57" s="32" t="inlineStr">
        <is>
          <t>Active</t>
        </is>
      </c>
      <c r="O57" s="32" t="n"/>
      <c r="P57" s="64" t="n">
        <v>4.4</v>
      </c>
      <c r="Q57" s="63" t="n">
        <v>1265</v>
      </c>
      <c r="R57" s="63" t="n">
        <v>10424</v>
      </c>
      <c r="S57" s="63"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59" t="n">
        <v>20.95</v>
      </c>
      <c r="H58" s="32" t="inlineStr">
        <is>
          <t>Helium 10 Xray (Amazon.ca, CAD), 2026-10-14</t>
        </is>
      </c>
      <c r="I58" s="60" t="n">
        <v>27.71</v>
      </c>
      <c r="J58" s="61" t="inlineStr">
        <is>
          <t>2026-03-30</t>
        </is>
      </c>
      <c r="K58" s="33" t="n">
        <v>6.99</v>
      </c>
      <c r="L58" s="62" t="n">
        <v>0.2522555034283652</v>
      </c>
      <c r="M58" s="63" t="n">
        <v>2</v>
      </c>
      <c r="N58" s="32" t="inlineStr">
        <is>
          <t>Active</t>
        </is>
      </c>
      <c r="O58" s="32" t="n"/>
      <c r="P58" s="64" t="n">
        <v>4.4</v>
      </c>
      <c r="Q58" s="63" t="n">
        <v>1265</v>
      </c>
      <c r="R58" s="63" t="n">
        <v>10424</v>
      </c>
      <c r="S58" s="63"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59" t="n">
        <v>20.95</v>
      </c>
      <c r="H59" s="32" t="inlineStr">
        <is>
          <t>Helium 10 Xray (Amazon.ca, CAD), 2026-10-14</t>
        </is>
      </c>
      <c r="I59" s="60" t="n">
        <v>27.71</v>
      </c>
      <c r="J59" s="61" t="inlineStr">
        <is>
          <t>2026-03-30</t>
        </is>
      </c>
      <c r="K59" s="33" t="n">
        <v>6.76</v>
      </c>
      <c r="L59" s="62" t="n">
        <v>0.2439552508119812</v>
      </c>
      <c r="M59" s="63" t="n">
        <v>2</v>
      </c>
      <c r="N59" s="32" t="inlineStr">
        <is>
          <t>Active</t>
        </is>
      </c>
      <c r="O59" s="32" t="n"/>
      <c r="P59" s="64" t="n">
        <v>4.4</v>
      </c>
      <c r="Q59" s="63" t="n">
        <v>1265</v>
      </c>
      <c r="R59" s="63" t="n">
        <v>10424</v>
      </c>
      <c r="S59" s="63"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59" t="n">
        <v>22.95</v>
      </c>
      <c r="H60" s="32" t="inlineStr">
        <is>
          <t>Helium 10 Xray (Amazon.ca, CAD), 2026-10-14</t>
        </is>
      </c>
      <c r="I60" s="60" t="n">
        <v>22.95</v>
      </c>
      <c r="J60" s="61" t="inlineStr">
        <is>
          <t>2026-03-30</t>
        </is>
      </c>
      <c r="K60" s="33" t="n">
        <v>7.499999999999997</v>
      </c>
      <c r="L60" s="62" t="n">
        <v>0.3267973856209149</v>
      </c>
      <c r="M60" s="63" t="n">
        <v>1</v>
      </c>
      <c r="N60" s="32" t="inlineStr">
        <is>
          <t>Active</t>
        </is>
      </c>
      <c r="O60" s="32" t="n"/>
      <c r="P60" s="64" t="n">
        <v>4.4</v>
      </c>
      <c r="Q60" s="63" t="n">
        <v>1265</v>
      </c>
      <c r="R60" s="63" t="n">
        <v>10424</v>
      </c>
      <c r="S60" s="63"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59" t="n">
        <v>22.95</v>
      </c>
      <c r="H61" s="32" t="inlineStr">
        <is>
          <t>Helium 10 Xray (Amazon.ca, CAD), 2026-10-14</t>
        </is>
      </c>
      <c r="I61" s="60" t="n">
        <v>22.95</v>
      </c>
      <c r="J61" s="61" t="inlineStr">
        <is>
          <t>2026-03-30</t>
        </is>
      </c>
      <c r="K61" s="33" t="n">
        <v>7.729999999999998</v>
      </c>
      <c r="L61" s="62" t="n">
        <v>0.3368191721132897</v>
      </c>
      <c r="M61" s="63" t="n">
        <v>1</v>
      </c>
      <c r="N61" s="32" t="inlineStr">
        <is>
          <t>Active</t>
        </is>
      </c>
      <c r="O61" s="32" t="n"/>
      <c r="P61" s="64" t="n">
        <v>4.4</v>
      </c>
      <c r="Q61" s="63" t="n">
        <v>1265</v>
      </c>
      <c r="R61" s="63" t="n">
        <v>10424</v>
      </c>
      <c r="S61" s="63"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59" t="n">
        <v>27.95</v>
      </c>
      <c r="H62" s="32" t="inlineStr">
        <is>
          <t>Helium 10 Xray (Amazon.ca, CAD), 2026-10-14</t>
        </is>
      </c>
      <c r="I62" s="60" t="n">
        <v>35.66</v>
      </c>
      <c r="J62" s="61" t="inlineStr">
        <is>
          <t>2026-03-30</t>
        </is>
      </c>
      <c r="K62" s="33" t="n">
        <v>11.43</v>
      </c>
      <c r="L62" s="62" t="n">
        <v>0.3205272013460459</v>
      </c>
      <c r="M62" s="63" t="n">
        <v>1</v>
      </c>
      <c r="N62" s="32" t="inlineStr">
        <is>
          <t>Active</t>
        </is>
      </c>
      <c r="O62" s="32" t="n"/>
      <c r="P62" s="64" t="n">
        <v>4.4</v>
      </c>
      <c r="Q62" s="63" t="n">
        <v>1265</v>
      </c>
      <c r="R62" s="63" t="n">
        <v>10424</v>
      </c>
      <c r="S62" s="63"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59" t="n">
        <v>27.95</v>
      </c>
      <c r="H63" s="32" t="inlineStr">
        <is>
          <t>Helium 10 Xray (Amazon.ca, CAD), 2026-10-14</t>
        </is>
      </c>
      <c r="I63" s="60" t="n">
        <v>27.95</v>
      </c>
      <c r="J63" s="61" t="inlineStr">
        <is>
          <t>2026-03-30</t>
        </is>
      </c>
      <c r="K63" s="33" t="n">
        <v>9.939999999999998</v>
      </c>
      <c r="L63" s="62" t="n">
        <v>0.3556350626118067</v>
      </c>
      <c r="M63" s="63" t="n">
        <v>1</v>
      </c>
      <c r="N63" s="32" t="inlineStr">
        <is>
          <t>Active</t>
        </is>
      </c>
      <c r="O63" s="32" t="n"/>
      <c r="P63" s="64" t="n">
        <v>4.4</v>
      </c>
      <c r="Q63" s="63" t="n">
        <v>1265</v>
      </c>
      <c r="R63" s="63" t="n">
        <v>10424</v>
      </c>
      <c r="S63" s="63"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59" t="n">
        <v>24.95</v>
      </c>
      <c r="H64" s="32" t="inlineStr">
        <is>
          <t>Helium 10 Xray (Amazon.ca, CAD), 2026-10-14</t>
        </is>
      </c>
      <c r="I64" s="60" t="n">
        <v>32.66</v>
      </c>
      <c r="J64" s="61" t="inlineStr">
        <is>
          <t>2026-03-30</t>
        </is>
      </c>
      <c r="K64" s="33" t="n">
        <v>8.43</v>
      </c>
      <c r="L64" s="62" t="n">
        <v>0.2581139007960809</v>
      </c>
      <c r="M64" s="63" t="n">
        <v>1</v>
      </c>
      <c r="N64" s="32" t="inlineStr">
        <is>
          <t>Active</t>
        </is>
      </c>
      <c r="O64" s="32" t="n"/>
      <c r="P64" s="64" t="n">
        <v>4.4</v>
      </c>
      <c r="Q64" s="63" t="n">
        <v>1265</v>
      </c>
      <c r="R64" s="63" t="n">
        <v>10424</v>
      </c>
      <c r="S64" s="63"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59" t="n">
        <v>27.95</v>
      </c>
      <c r="H65" s="32" t="inlineStr">
        <is>
          <t>Helium 10 Xray (Amazon.ca, CAD), 2026-10-14</t>
        </is>
      </c>
      <c r="I65" s="60" t="n">
        <v>35.23</v>
      </c>
      <c r="J65" s="61" t="inlineStr">
        <is>
          <t>2026-03-30</t>
        </is>
      </c>
      <c r="K65" s="33" t="n">
        <v>12.47</v>
      </c>
      <c r="L65" s="62" t="n">
        <v>0.3539596934430882</v>
      </c>
      <c r="M65" s="63" t="n">
        <v>1</v>
      </c>
      <c r="N65" s="32" t="inlineStr">
        <is>
          <t>Active</t>
        </is>
      </c>
      <c r="O65" s="32" t="n"/>
      <c r="P65" s="64" t="n">
        <v>4.4</v>
      </c>
      <c r="Q65" s="63" t="n">
        <v>1265</v>
      </c>
      <c r="R65" s="63" t="n">
        <v>10424</v>
      </c>
      <c r="S65" s="63"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59" t="n">
        <v>20.95</v>
      </c>
      <c r="H66" s="32" t="inlineStr">
        <is>
          <t>Helium 10 Xray (Amazon.ca, CAD), 2026-10-14</t>
        </is>
      </c>
      <c r="I66" s="60" t="n">
        <v>20.95</v>
      </c>
      <c r="J66" s="61" t="inlineStr">
        <is>
          <t>2026-03-30</t>
        </is>
      </c>
      <c r="K66" s="33" t="n">
        <v>6.409999999999998</v>
      </c>
      <c r="L66" s="62" t="n">
        <v>0.3059665871121718</v>
      </c>
      <c r="M66" s="63" t="n">
        <v>1</v>
      </c>
      <c r="N66" s="32" t="inlineStr">
        <is>
          <t>Active</t>
        </is>
      </c>
      <c r="O66" s="32" t="n"/>
      <c r="P66" s="64" t="n">
        <v>4.4</v>
      </c>
      <c r="Q66" s="63" t="n">
        <v>1265</v>
      </c>
      <c r="R66" s="63" t="n">
        <v>10424</v>
      </c>
      <c r="S66" s="63"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59" t="n">
        <v>20.95</v>
      </c>
      <c r="H67" s="32" t="inlineStr">
        <is>
          <t>Helium 10 Xray (Amazon.ca, CAD), 2026-10-14</t>
        </is>
      </c>
      <c r="I67" s="60" t="n">
        <v>20.95</v>
      </c>
      <c r="J67" s="61" t="inlineStr">
        <is>
          <t>2026-03-30</t>
        </is>
      </c>
      <c r="K67" s="33" t="n">
        <v>5.609999999999999</v>
      </c>
      <c r="L67" s="62" t="n">
        <v>0.267780429594272</v>
      </c>
      <c r="M67" s="63" t="n">
        <v>1</v>
      </c>
      <c r="N67" s="32" t="inlineStr">
        <is>
          <t>Active</t>
        </is>
      </c>
      <c r="O67" s="32" t="n"/>
      <c r="P67" s="64" t="n">
        <v>4.4</v>
      </c>
      <c r="Q67" s="63" t="n">
        <v>1265</v>
      </c>
      <c r="R67" s="63" t="n">
        <v>10424</v>
      </c>
      <c r="S67" s="63"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59" t="n">
        <v>20.95</v>
      </c>
      <c r="H68" s="32" t="inlineStr">
        <is>
          <t>Helium 10 Xray (Amazon.ca, CAD), 2026-10-14</t>
        </is>
      </c>
      <c r="I68" s="60" t="n">
        <v>20.95</v>
      </c>
      <c r="J68" s="61" t="inlineStr">
        <is>
          <t>2026-03-30</t>
        </is>
      </c>
      <c r="K68" s="33" t="n">
        <v>6.989999999999998</v>
      </c>
      <c r="L68" s="62" t="n">
        <v>0.3336515513126491</v>
      </c>
      <c r="M68" s="63" t="n">
        <v>1</v>
      </c>
      <c r="N68" s="32" t="inlineStr">
        <is>
          <t>Active</t>
        </is>
      </c>
      <c r="O68" s="32" t="n"/>
      <c r="P68" s="64" t="n">
        <v>4.4</v>
      </c>
      <c r="Q68" s="63" t="n">
        <v>1265</v>
      </c>
      <c r="R68" s="63" t="n">
        <v>10424</v>
      </c>
      <c r="S68" s="63"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59" t="n">
        <v>20.95</v>
      </c>
      <c r="H69" s="32" t="inlineStr">
        <is>
          <t>Helium 10 Xray (Amazon.ca, CAD), 2026-10-14</t>
        </is>
      </c>
      <c r="I69" s="60" t="n">
        <v>20.95</v>
      </c>
      <c r="J69" s="61" t="inlineStr">
        <is>
          <t>2026-03-30</t>
        </is>
      </c>
      <c r="K69" s="33" t="n">
        <v>6.389999999999999</v>
      </c>
      <c r="L69" s="62" t="n">
        <v>0.3050119331742243</v>
      </c>
      <c r="M69" s="63" t="n">
        <v>1</v>
      </c>
      <c r="N69" s="32" t="inlineStr">
        <is>
          <t>Active</t>
        </is>
      </c>
      <c r="O69" s="32" t="n"/>
      <c r="P69" s="64" t="n">
        <v>4.4</v>
      </c>
      <c r="Q69" s="63" t="n">
        <v>1265</v>
      </c>
      <c r="R69" s="63" t="n">
        <v>10424</v>
      </c>
      <c r="S69" s="63"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0" t="n">
        <v>20.95</v>
      </c>
      <c r="J70" s="61" t="inlineStr">
        <is>
          <t>2026-03-30</t>
        </is>
      </c>
      <c r="K70" s="33" t="n">
        <v>6.019999999999999</v>
      </c>
      <c r="L70" s="62" t="n">
        <v>0.2873508353221956</v>
      </c>
      <c r="M70" s="63" t="n"/>
      <c r="N70" s="32" t="inlineStr">
        <is>
          <t>Inactive</t>
        </is>
      </c>
      <c r="O70" s="32" t="n"/>
      <c r="P70" s="64" t="n"/>
      <c r="Q70" s="63" t="n"/>
      <c r="R70" s="63" t="n"/>
      <c r="S70" s="63"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59" t="n">
        <v>22.95</v>
      </c>
      <c r="H71" s="32" t="inlineStr">
        <is>
          <t>Helium 10 Xray (Amazon.ca, CAD), 2026-10-14</t>
        </is>
      </c>
      <c r="I71" s="60" t="n">
        <v>22.95</v>
      </c>
      <c r="J71" s="61" t="inlineStr">
        <is>
          <t>2026-03-30</t>
        </is>
      </c>
      <c r="K71" s="33" t="n">
        <v>7.279999999999998</v>
      </c>
      <c r="L71" s="62" t="n">
        <v>0.3172113289760348</v>
      </c>
      <c r="M71" s="63" t="n">
        <v>0</v>
      </c>
      <c r="N71" s="32" t="inlineStr">
        <is>
          <t>Active</t>
        </is>
      </c>
      <c r="O71" s="32" t="n"/>
      <c r="P71" s="64" t="n">
        <v>4.4</v>
      </c>
      <c r="Q71" s="63" t="n">
        <v>1265</v>
      </c>
      <c r="R71" s="63" t="n">
        <v>10424</v>
      </c>
      <c r="S71" s="63"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0" t="n">
        <v>22.95</v>
      </c>
      <c r="J72" s="61" t="inlineStr">
        <is>
          <t>2026-03-30</t>
        </is>
      </c>
      <c r="K72" s="33" t="n">
        <v>7.569999999999998</v>
      </c>
      <c r="L72" s="62" t="n">
        <v>0.3298474945533768</v>
      </c>
      <c r="M72" s="63" t="n"/>
      <c r="N72" s="32" t="inlineStr">
        <is>
          <t>Inactive</t>
        </is>
      </c>
      <c r="O72" s="32" t="n"/>
      <c r="P72" s="64" t="n"/>
      <c r="Q72" s="63" t="n"/>
      <c r="R72" s="63" t="n"/>
      <c r="S72" s="63"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59" t="n">
        <v>22.95</v>
      </c>
      <c r="H73" s="32" t="inlineStr">
        <is>
          <t>Helium 10 Xray (Amazon.ca, CAD), 2026-10-14</t>
        </is>
      </c>
      <c r="I73" s="60" t="n">
        <v>30.04</v>
      </c>
      <c r="J73" s="61" t="inlineStr">
        <is>
          <t>2026-03-30</t>
        </is>
      </c>
      <c r="K73" s="33" t="n">
        <v>8.359999999999999</v>
      </c>
      <c r="L73" s="62" t="n">
        <v>0.2782956058588548</v>
      </c>
      <c r="M73" s="63" t="n">
        <v>0</v>
      </c>
      <c r="N73" s="32" t="inlineStr">
        <is>
          <t>Active</t>
        </is>
      </c>
      <c r="O73" s="32" t="n"/>
      <c r="P73" s="64" t="n">
        <v>4.4</v>
      </c>
      <c r="Q73" s="63" t="n">
        <v>1265</v>
      </c>
      <c r="R73" s="63" t="n">
        <v>10424</v>
      </c>
      <c r="S73" s="63"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59" t="n">
        <v>28.19</v>
      </c>
      <c r="H74" s="32" t="inlineStr">
        <is>
          <t>Helium 10 Xray (Amazon.ca, CAD), 2026-10-14</t>
        </is>
      </c>
      <c r="I74" s="60" t="n">
        <v>22.95</v>
      </c>
      <c r="J74" s="61" t="inlineStr">
        <is>
          <t>2026-03-30</t>
        </is>
      </c>
      <c r="K74" s="33" t="n">
        <v>7.499999999999997</v>
      </c>
      <c r="L74" s="62" t="n">
        <v>0.3267973856209149</v>
      </c>
      <c r="M74" s="63" t="n">
        <v>0</v>
      </c>
      <c r="N74" s="32" t="inlineStr">
        <is>
          <t>Active</t>
        </is>
      </c>
      <c r="O74" s="32" t="n"/>
      <c r="P74" s="64" t="n">
        <v>4.4</v>
      </c>
      <c r="Q74" s="63" t="n">
        <v>1265</v>
      </c>
      <c r="R74" s="63" t="n">
        <v>10424</v>
      </c>
      <c r="S74" s="63"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0" t="n">
        <v>27.95</v>
      </c>
      <c r="J75" s="61" t="inlineStr">
        <is>
          <t>2026-03-30</t>
        </is>
      </c>
      <c r="K75" s="33" t="n">
        <v>9.849999999999998</v>
      </c>
      <c r="L75" s="62" t="n">
        <v>0.3524150268336314</v>
      </c>
      <c r="M75" s="63" t="n"/>
      <c r="N75" s="32" t="inlineStr">
        <is>
          <t>Inactive</t>
        </is>
      </c>
      <c r="O75" s="32" t="n"/>
      <c r="P75" s="64" t="n"/>
      <c r="Q75" s="63" t="n"/>
      <c r="R75" s="63" t="n"/>
      <c r="S75" s="63"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59" t="n">
        <v>27.95</v>
      </c>
      <c r="H76" s="32" t="inlineStr">
        <is>
          <t>Helium 10 Xray (Amazon.ca, CAD), 2026-10-14</t>
        </is>
      </c>
      <c r="I76" s="60" t="n">
        <v>27.95</v>
      </c>
      <c r="J76" s="61" t="inlineStr">
        <is>
          <t>2026-03-30</t>
        </is>
      </c>
      <c r="K76" s="33" t="n">
        <v>10.26</v>
      </c>
      <c r="L76" s="62" t="n">
        <v>0.3670840787119856</v>
      </c>
      <c r="M76" s="63" t="n">
        <v>0</v>
      </c>
      <c r="N76" s="32" t="inlineStr">
        <is>
          <t>Active</t>
        </is>
      </c>
      <c r="O76" s="32" t="n"/>
      <c r="P76" s="64" t="n">
        <v>4.4</v>
      </c>
      <c r="Q76" s="63" t="n">
        <v>1265</v>
      </c>
      <c r="R76" s="63" t="n">
        <v>10424</v>
      </c>
      <c r="S76" s="63"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59" t="n">
        <v>27.95</v>
      </c>
      <c r="H77" s="32" t="inlineStr">
        <is>
          <t>Helium 10 Xray (Amazon.ca, CAD), 2026-10-14</t>
        </is>
      </c>
      <c r="I77" s="60" t="n">
        <v>27.95</v>
      </c>
      <c r="J77" s="61" t="inlineStr">
        <is>
          <t>2026-03-30</t>
        </is>
      </c>
      <c r="K77" s="33" t="n">
        <v>9.849999999999998</v>
      </c>
      <c r="L77" s="62" t="n">
        <v>0.3524150268336314</v>
      </c>
      <c r="M77" s="63" t="n">
        <v>0</v>
      </c>
      <c r="N77" s="32" t="inlineStr">
        <is>
          <t>Active</t>
        </is>
      </c>
      <c r="O77" s="32" t="n"/>
      <c r="P77" s="64" t="n">
        <v>4.4</v>
      </c>
      <c r="Q77" s="63" t="n">
        <v>1265</v>
      </c>
      <c r="R77" s="63" t="n">
        <v>10424</v>
      </c>
      <c r="S77" s="63"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0" t="n">
        <v>27.95</v>
      </c>
      <c r="J78" s="61" t="inlineStr">
        <is>
          <t>2026-03-30</t>
        </is>
      </c>
      <c r="K78" s="33" t="n">
        <v>10.02</v>
      </c>
      <c r="L78" s="62" t="n">
        <v>0.3584973166368515</v>
      </c>
      <c r="M78" s="63" t="n">
        <v>0</v>
      </c>
      <c r="N78" s="32" t="inlineStr">
        <is>
          <t>Inactive</t>
        </is>
      </c>
      <c r="O78" s="32" t="n"/>
      <c r="P78" s="64" t="n"/>
      <c r="Q78" s="63" t="n"/>
      <c r="R78" s="63" t="n"/>
      <c r="S78" s="63"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0" t="n">
        <v>23.95</v>
      </c>
      <c r="J79" s="61" t="inlineStr">
        <is>
          <t>2026-03-30</t>
        </is>
      </c>
      <c r="K79" s="33" t="n">
        <v>7.659999999999999</v>
      </c>
      <c r="L79" s="62" t="n">
        <v>0.3198329853862213</v>
      </c>
      <c r="M79" s="63" t="n">
        <v>0</v>
      </c>
      <c r="N79" s="32" t="inlineStr">
        <is>
          <t>Inactive</t>
        </is>
      </c>
      <c r="O79" s="32" t="n"/>
      <c r="P79" s="64" t="n"/>
      <c r="Q79" s="63" t="n"/>
      <c r="R79" s="63" t="n"/>
      <c r="S79" s="63"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0" t="n">
        <v>31.2</v>
      </c>
      <c r="J80" s="61" t="inlineStr">
        <is>
          <t>2026-03-30</t>
        </is>
      </c>
      <c r="K80" s="33" t="n">
        <v>8.25</v>
      </c>
      <c r="L80" s="62" t="n">
        <v>0.2644230769230769</v>
      </c>
      <c r="M80" s="63" t="n">
        <v>0</v>
      </c>
      <c r="N80" s="32" t="inlineStr">
        <is>
          <t>Inactive</t>
        </is>
      </c>
      <c r="O80" s="32" t="n"/>
      <c r="P80" s="64" t="n"/>
      <c r="Q80" s="63" t="n"/>
      <c r="R80" s="63" t="n"/>
      <c r="S80" s="63"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0" t="n">
        <v>31.11</v>
      </c>
      <c r="J81" s="61" t="inlineStr">
        <is>
          <t>2026-03-30</t>
        </is>
      </c>
      <c r="K81" s="33" t="n">
        <v>8.149999999999999</v>
      </c>
      <c r="L81" s="62" t="n">
        <v>0.2619736419157827</v>
      </c>
      <c r="M81" s="63" t="n">
        <v>0</v>
      </c>
      <c r="N81" s="32" t="inlineStr">
        <is>
          <t>Inactive</t>
        </is>
      </c>
      <c r="O81" s="32" t="n"/>
      <c r="P81" s="64" t="n"/>
      <c r="Q81" s="63" t="n"/>
      <c r="R81" s="63" t="n"/>
      <c r="S81" s="63"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0" t="n">
        <v>31.07</v>
      </c>
      <c r="J82" s="61" t="inlineStr">
        <is>
          <t>2026-03-30</t>
        </is>
      </c>
      <c r="K82" s="33" t="n">
        <v>7.52</v>
      </c>
      <c r="L82" s="62" t="n">
        <v>0.242034116511104</v>
      </c>
      <c r="M82" s="63" t="n">
        <v>0</v>
      </c>
      <c r="N82" s="32" t="inlineStr">
        <is>
          <t>Inactive</t>
        </is>
      </c>
      <c r="O82" s="32" t="n"/>
      <c r="P82" s="64" t="n"/>
      <c r="Q82" s="63" t="n"/>
      <c r="R82" s="63" t="n"/>
      <c r="S82" s="63"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0" t="n">
        <v>20.95</v>
      </c>
      <c r="J83" s="61" t="inlineStr">
        <is>
          <t>2026-03-30</t>
        </is>
      </c>
      <c r="K83" s="33" t="n">
        <v>6.679999999999999</v>
      </c>
      <c r="L83" s="62" t="n">
        <v>0.318854415274463</v>
      </c>
      <c r="M83" s="63" t="n"/>
      <c r="N83" s="32" t="inlineStr">
        <is>
          <t>Inactive</t>
        </is>
      </c>
      <c r="O83" s="32" t="n"/>
      <c r="P83" s="64" t="n"/>
      <c r="Q83" s="63" t="n"/>
      <c r="R83" s="63" t="n"/>
      <c r="S83" s="63"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59" t="n">
        <v>20.95</v>
      </c>
      <c r="H84" s="32" t="inlineStr">
        <is>
          <t>Helium 10 Xray (Amazon.ca, CAD), 2026-10-14</t>
        </is>
      </c>
      <c r="I84" s="60" t="n">
        <v>27.71</v>
      </c>
      <c r="J84" s="61" t="inlineStr">
        <is>
          <t>2026-03-30</t>
        </is>
      </c>
      <c r="K84" s="33" t="n">
        <v>6.76</v>
      </c>
      <c r="L84" s="62" t="n">
        <v>0.2439552508119812</v>
      </c>
      <c r="M84" s="63" t="n">
        <v>0</v>
      </c>
      <c r="N84" s="32" t="inlineStr">
        <is>
          <t>Active</t>
        </is>
      </c>
      <c r="O84" s="32" t="n"/>
      <c r="P84" s="64" t="n">
        <v>4.4</v>
      </c>
      <c r="Q84" s="63" t="n">
        <v>1265</v>
      </c>
      <c r="R84" s="63" t="n">
        <v>10424</v>
      </c>
      <c r="S84" s="63"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59" t="n">
        <v>25.74</v>
      </c>
      <c r="H85" s="32" t="inlineStr">
        <is>
          <t>Helium 10 Xray (Amazon.ca, CAD), 2026-10-14</t>
        </is>
      </c>
      <c r="I85" s="60" t="n">
        <v>27.71</v>
      </c>
      <c r="J85" s="61" t="inlineStr">
        <is>
          <t>2026-03-30</t>
        </is>
      </c>
      <c r="K85" s="33" t="n">
        <v>6.99</v>
      </c>
      <c r="L85" s="62" t="n">
        <v>0.2522555034283652</v>
      </c>
      <c r="M85" s="63" t="n">
        <v>0</v>
      </c>
      <c r="N85" s="32" t="inlineStr">
        <is>
          <t>Active</t>
        </is>
      </c>
      <c r="O85" s="32" t="n"/>
      <c r="P85" s="64" t="n">
        <v>4.4</v>
      </c>
      <c r="Q85" s="63" t="n">
        <v>1265</v>
      </c>
      <c r="R85" s="63" t="n">
        <v>10424</v>
      </c>
      <c r="S85" s="63" t="n">
        <v>5</v>
      </c>
      <c r="T85" s="32" t="n"/>
    </row>
    <row r="87" ht="20" customHeight="1">
      <c r="A87" s="53" t="inlineStr">
        <is>
          <t>3 · OUR BFCM 2025 RESULT &amp; EVENT VISIBILITY</t>
        </is>
      </c>
    </row>
    <row r="88">
      <c r="A88" s="66" t="inlineStr">
        <is>
          <t>Window</t>
        </is>
      </c>
      <c r="B88" s="67" t="n"/>
      <c r="C88" s="68" t="n"/>
      <c r="D88" s="66" t="inlineStr">
        <is>
          <t>Ad spend</t>
        </is>
      </c>
      <c r="E88" s="66" t="inlineStr">
        <is>
          <t>Ad sales</t>
        </is>
      </c>
      <c r="F88" s="66" t="inlineStr">
        <is>
          <t>ACoS</t>
        </is>
      </c>
      <c r="G88" s="66" t="inlineStr">
        <is>
          <t>TACoS</t>
        </is>
      </c>
      <c r="H88" s="66" t="inlineStr">
        <is>
          <t>Total sales (derived)</t>
        </is>
      </c>
      <c r="J88" s="66" t="inlineStr">
        <is>
          <t>Ad orders</t>
        </is>
      </c>
      <c r="K88" s="66" t="inlineStr">
        <is>
          <t>CVR</t>
        </is>
      </c>
    </row>
    <row r="89">
      <c r="A89" s="69" t="inlineStr">
        <is>
          <t>Pre-event Oct 21 - Nov 19, 2025 (30d)</t>
        </is>
      </c>
      <c r="B89" s="67" t="n"/>
      <c r="C89" s="68" t="n"/>
      <c r="D89" s="70" t="n">
        <v>0</v>
      </c>
      <c r="E89" s="70" t="n">
        <v>0</v>
      </c>
      <c r="F89" s="71" t="n"/>
      <c r="G89" s="71" t="n">
        <v>0</v>
      </c>
      <c r="H89" s="70" t="n"/>
      <c r="J89" s="72" t="n">
        <v>0</v>
      </c>
      <c r="K89" s="73" t="n"/>
    </row>
    <row r="90">
      <c r="A90" s="69" t="inlineStr">
        <is>
          <t>BFCM week Nov 20 - Dec 1, 2025 (12d)</t>
        </is>
      </c>
      <c r="B90" s="67" t="n"/>
      <c r="C90" s="68" t="n"/>
      <c r="D90" s="70" t="n">
        <v>50.84999999999999</v>
      </c>
      <c r="E90" s="70" t="n">
        <v>588.6</v>
      </c>
      <c r="F90" s="71" t="n">
        <v>8.6</v>
      </c>
      <c r="G90" s="71" t="n">
        <v>1.296334064141131</v>
      </c>
      <c r="H90" s="70" t="n">
        <v>3922.6</v>
      </c>
      <c r="J90" s="72" t="n">
        <v>20</v>
      </c>
      <c r="K90" s="73" t="n">
        <v>16.53</v>
      </c>
    </row>
    <row r="91">
      <c r="A91" s="69" t="inlineStr">
        <is>
          <t>December 2 - 31, 2025 (30d)</t>
        </is>
      </c>
      <c r="B91" s="67" t="n"/>
      <c r="C91" s="68" t="n"/>
      <c r="D91" s="70" t="n">
        <v>4.22</v>
      </c>
      <c r="E91" s="70" t="n">
        <v>23.95</v>
      </c>
      <c r="F91" s="71" t="n">
        <v>17.6</v>
      </c>
      <c r="G91" s="71" t="n">
        <v>0.04336299554039334</v>
      </c>
      <c r="H91" s="70" t="n">
        <v>9731.799999999999</v>
      </c>
      <c r="J91" s="72" t="n">
        <v>1</v>
      </c>
      <c r="K91" s="73" t="n">
        <v>10</v>
      </c>
    </row>
    <row r="93">
      <c r="A93" s="66" t="inlineStr">
        <is>
          <t>Actual sales (SellerBoard)</t>
        </is>
      </c>
      <c r="B93" s="67" t="n"/>
      <c r="C93" s="68" t="n"/>
      <c r="D93" s="66" t="inlineStr">
        <is>
          <t>Sales</t>
        </is>
      </c>
      <c r="E93" s="66" t="inlineStr">
        <is>
          <t>Units</t>
        </is>
      </c>
      <c r="F93" s="66" t="inlineStr">
        <is>
          <t>Organic units</t>
        </is>
      </c>
      <c r="G93" s="66" t="inlineStr">
        <is>
          <t>Ad units</t>
        </is>
      </c>
      <c r="H93" s="66" t="inlineStr">
        <is>
          <t>Ad cost</t>
        </is>
      </c>
      <c r="J93" s="66" t="inlineStr">
        <is>
          <t>TACoS (actual)</t>
        </is>
      </c>
      <c r="K93" s="66" t="inlineStr">
        <is>
          <t>Sessions</t>
        </is>
      </c>
      <c r="L93" s="66" t="inlineStr">
        <is>
          <t>Unit session %</t>
        </is>
      </c>
      <c r="M93" s="66" t="inlineStr">
        <is>
          <t>Avg price</t>
        </is>
      </c>
      <c r="N93" s="66" t="inlineStr">
        <is>
          <t>Refunds</t>
        </is>
      </c>
    </row>
    <row r="94">
      <c r="A94" s="69" t="inlineStr">
        <is>
          <t>Pre-event Oct 21 - Nov 19, 2025 (30d)</t>
        </is>
      </c>
      <c r="B94" s="67" t="n"/>
      <c r="C94" s="68" t="n"/>
      <c r="D94" s="70" t="n">
        <v>9458</v>
      </c>
      <c r="E94" s="72" t="n">
        <v>618</v>
      </c>
      <c r="F94" s="72" t="n">
        <v>618</v>
      </c>
      <c r="G94" s="72" t="n">
        <v>0</v>
      </c>
      <c r="H94" s="70" t="n">
        <v>0</v>
      </c>
      <c r="J94" s="74" t="n">
        <v>0</v>
      </c>
      <c r="K94" s="72" t="n">
        <v>9672</v>
      </c>
      <c r="L94" s="74" t="n">
        <v>0.06389578163771713</v>
      </c>
      <c r="M94" s="75" t="n">
        <v>15.3042071197411</v>
      </c>
      <c r="N94" s="72" t="n">
        <v>33</v>
      </c>
    </row>
    <row r="95">
      <c r="A95" s="69" t="inlineStr">
        <is>
          <t>BFCM week Nov 20 - Dec 1, 2025 (12d)</t>
        </is>
      </c>
      <c r="B95" s="67" t="n"/>
      <c r="C95" s="68" t="n"/>
      <c r="D95" s="70" t="n">
        <v>2791.44</v>
      </c>
      <c r="E95" s="72" t="n">
        <v>168</v>
      </c>
      <c r="F95" s="72" t="n">
        <v>166</v>
      </c>
      <c r="G95" s="72" t="n">
        <v>2</v>
      </c>
      <c r="H95" s="70" t="n">
        <v>36.25</v>
      </c>
      <c r="J95" s="74" t="n">
        <v>0.01298612902301321</v>
      </c>
      <c r="K95" s="72" t="n">
        <v>2381</v>
      </c>
      <c r="L95" s="74" t="n">
        <v>0.07055858882822344</v>
      </c>
      <c r="M95" s="75" t="n">
        <v>16.61571428571429</v>
      </c>
      <c r="N95" s="72" t="n">
        <v>11</v>
      </c>
    </row>
    <row r="96">
      <c r="A96" s="69" t="inlineStr">
        <is>
          <t>December 2 - 31, 2025 (30d)</t>
        </is>
      </c>
      <c r="B96" s="67" t="n"/>
      <c r="C96" s="68" t="n"/>
      <c r="D96" s="70" t="n">
        <v>7219.26</v>
      </c>
      <c r="E96" s="72" t="n">
        <v>433</v>
      </c>
      <c r="F96" s="72" t="n">
        <v>433</v>
      </c>
      <c r="G96" s="72" t="n">
        <v>0</v>
      </c>
      <c r="H96" s="70" t="n">
        <v>3.03</v>
      </c>
      <c r="J96" s="74" t="n">
        <v>0.0004197106074583821</v>
      </c>
      <c r="K96" s="72" t="n">
        <v>5821</v>
      </c>
      <c r="L96" s="74" t="n">
        <v>0.07438584435663975</v>
      </c>
      <c r="M96" s="75" t="n">
        <v>16.6726558891455</v>
      </c>
      <c r="N96" s="72" t="n">
        <v>31</v>
      </c>
    </row>
    <row r="97">
      <c r="A97" s="58"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6"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7" t="inlineStr">
        <is>
          <t>BFCM 2026 plan (BM, Oct 15, 2026): Best Deal 11/19-11/30. Deal price and depth not yet given; not yet visible in Amazon's deal feed.</t>
        </is>
      </c>
    </row>
    <row r="100" ht="18" customHeight="1">
      <c r="A100" s="79" t="inlineStr">
        <is>
          <t>ASSUMED 2026 deal prices, until BM's final: B0DBW1PNJ8 today C$22.95; C$19.51 at 15% off (Nov 19-26) and C$18.36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1" ht="40" customHeight="1">
      <c r="A101" s="76"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8" t="inlineStr">
        <is>
          <t>Figures above are Amazon.ca in CAD. Visibility history is held for US ASINs only.</t>
        </is>
      </c>
    </row>
    <row r="104" ht="20" customHeight="1">
      <c r="A104" s="53" t="inlineStr">
        <is>
          <t>4 · COMPETITOR LANDSCAPE (15 mapped)</t>
        </is>
      </c>
    </row>
    <row r="105">
      <c r="A105" s="58" t="inlineStr">
        <is>
          <t>Sorted by tier, then estimated weekly units. Green = Command Center price/sales; blue = Data Dive listing; purple = Command Center search strategy (ASINsight); yellow = fill from Keepa / page check.</t>
        </is>
      </c>
    </row>
    <row r="106" ht="30" customHeight="1">
      <c r="A106" s="76"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3"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Silk Pillowcase  ·  Amazon.com (US)  ·  Silk  ·  BFCM role: Gifting  ·  Scope: Other</t>
        </is>
      </c>
    </row>
    <row r="2">
      <c r="A2" s="52" t="inlineStr">
        <is>
          <t>← Dashboard</t>
        </is>
      </c>
    </row>
    <row r="3" ht="20" customHeight="1">
      <c r="A3" s="53"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4" t="inlineStr">
        <is>
          <t>King, Queen, Standard</t>
        </is>
      </c>
      <c r="S4" s="11" t="inlineStr">
        <is>
          <t>Break-even ACoS</t>
        </is>
      </c>
      <c r="T4" s="54" t="inlineStr">
        <is>
          <t>37%</t>
        </is>
      </c>
    </row>
    <row r="5" ht="22" customHeight="1">
      <c r="C5" s="11" t="inlineStr">
        <is>
          <t>Brand</t>
        </is>
      </c>
      <c r="D5" s="54" t="inlineStr">
        <is>
          <t>Decolure</t>
        </is>
      </c>
      <c r="K5" s="11" t="inlineStr">
        <is>
          <t>Colours</t>
        </is>
      </c>
      <c r="L5" s="54" t="inlineStr">
        <is>
          <t>Champagne, Coral, Grey, Ivory, Silver Grey, White</t>
        </is>
      </c>
      <c r="S5" s="11" t="inlineStr">
        <is>
          <t>Units last 28 days</t>
        </is>
      </c>
      <c r="T5" s="54" t="inlineStr">
        <is>
          <t>125</t>
        </is>
      </c>
    </row>
    <row r="6" ht="22" customHeight="1">
      <c r="C6" s="11" t="inlineStr">
        <is>
          <t>Marketplace</t>
        </is>
      </c>
      <c r="D6" s="54" t="inlineStr">
        <is>
          <t>Amazon.com (US)</t>
        </is>
      </c>
      <c r="K6" s="11" t="inlineStr">
        <is>
          <t>Price now, best child</t>
        </is>
      </c>
      <c r="L6" s="54" t="inlineStr">
        <is>
          <t>$44.95 (Helium 10 Xray, 2026-10-13)</t>
        </is>
      </c>
      <c r="S6" s="11" t="inlineStr">
        <is>
          <t>Command Center product ASIN</t>
        </is>
      </c>
      <c r="T6" s="54" t="inlineStr">
        <is>
          <t>B0DBR7PBVP (one of our child ASINs, not the Amazon parent)</t>
        </is>
      </c>
    </row>
    <row r="7" ht="22" customHeight="1">
      <c r="C7" s="11" t="inlineStr">
        <is>
          <t>Parent ASIN (Amazon)</t>
        </is>
      </c>
      <c r="D7" s="54" t="inlineStr">
        <is>
          <t>B0DQQQWYPT</t>
        </is>
      </c>
      <c r="K7" s="11" t="inlineStr">
        <is>
          <t>Rating / reviews now</t>
        </is>
      </c>
      <c r="L7" s="54" t="inlineStr">
        <is>
          <t>4.5 / 335 (Helium 10 Xray, 2026-10-13)</t>
        </is>
      </c>
    </row>
    <row r="8" ht="22" customHeight="1">
      <c r="C8" s="11" t="inlineStr">
        <is>
          <t>Best-selling child ASIN</t>
        </is>
      </c>
      <c r="D8" s="54" t="inlineStr">
        <is>
          <t>B0DBR5SY67</t>
        </is>
      </c>
      <c r="K8" s="11" t="inlineStr">
        <is>
          <t>Live prices held</t>
        </is>
      </c>
      <c r="L8" s="54" t="inlineStr">
        <is>
          <t>17 of 18 variations</t>
        </is>
      </c>
    </row>
    <row r="9" ht="22" customHeight="1">
      <c r="C9" s="11" t="inlineStr">
        <is>
          <t>Stage</t>
        </is>
      </c>
      <c r="D9" s="54" t="inlineStr">
        <is>
          <t>Re-Launch</t>
        </is>
      </c>
      <c r="K9" s="11" t="inlineStr">
        <is>
          <t>Blended price (Command Center)</t>
        </is>
      </c>
      <c r="L9" s="54" t="inlineStr">
        <is>
          <t>$50.20 - fee feed as of 2026-03-30, STALE</t>
        </is>
      </c>
    </row>
    <row r="10">
      <c r="C10" s="11" t="inlineStr">
        <is>
          <t>Total variations (SKUs)</t>
        </is>
      </c>
      <c r="D10" s="54" t="n">
        <v>18</v>
      </c>
      <c r="K10" s="11" t="inlineStr">
        <is>
          <t>Contribution / unit</t>
        </is>
      </c>
      <c r="L10" s="54" t="inlineStr">
        <is>
          <t>$18.46</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1.35x</t>
        </is>
      </c>
      <c r="E12" s="56" t="inlineStr">
        <is>
          <t>33.6%</t>
        </is>
      </c>
      <c r="I12" s="56" t="inlineStr">
        <is>
          <t>2.99x</t>
        </is>
      </c>
      <c r="M12" s="56" t="inlineStr">
        <is>
          <t>29</t>
        </is>
      </c>
      <c r="Q12" s="56" t="inlineStr">
        <is>
          <t>25</t>
        </is>
      </c>
      <c r="U12" s="56" t="inlineStr">
        <is>
          <t>2</t>
        </is>
      </c>
    </row>
    <row r="13">
      <c r="A13" s="57" t="inlineStr">
        <is>
          <t>daily sales, BFCM wk vs 30 days before (SellerBoard actual)</t>
        </is>
      </c>
      <c r="E13" s="57" t="inlineStr">
        <is>
          <t>vs 31.6%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(18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59" t="n">
        <v>44.95</v>
      </c>
      <c r="H18" s="32" t="inlineStr">
        <is>
          <t>Helium 10 Xray, 2026-10-13</t>
        </is>
      </c>
      <c r="I18" s="60" t="n">
        <v>44.95</v>
      </c>
      <c r="J18" s="61" t="inlineStr">
        <is>
          <t>2026-03-30</t>
        </is>
      </c>
      <c r="K18" s="33" t="n">
        <v>17</v>
      </c>
      <c r="L18" s="62" t="n">
        <v>0.3781979977753058</v>
      </c>
      <c r="M18" s="63" t="n">
        <v>26</v>
      </c>
      <c r="N18" s="32" t="inlineStr">
        <is>
          <t>Active</t>
        </is>
      </c>
      <c r="O18" s="32" t="inlineStr">
        <is>
          <t>Yes (53%)</t>
        </is>
      </c>
      <c r="P18" s="64" t="n">
        <v>4.5</v>
      </c>
      <c r="Q18" s="63" t="n">
        <v>335</v>
      </c>
      <c r="R18" s="63" t="n">
        <v>143786</v>
      </c>
      <c r="S18" s="63"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59" t="n">
        <v>44.95</v>
      </c>
      <c r="H19" s="32" t="inlineStr">
        <is>
          <t>Helium 10 Xray, 2026-10-13</t>
        </is>
      </c>
      <c r="I19" s="60" t="n">
        <v>44.95</v>
      </c>
      <c r="J19" s="61" t="inlineStr">
        <is>
          <t>2026-03-30</t>
        </is>
      </c>
      <c r="K19" s="33" t="n">
        <v>15.23</v>
      </c>
      <c r="L19" s="62" t="n">
        <v>0.3388209121245829</v>
      </c>
      <c r="M19" s="63" t="n">
        <v>15</v>
      </c>
      <c r="N19" s="32" t="inlineStr">
        <is>
          <t>Active</t>
        </is>
      </c>
      <c r="O19" s="32" t="n"/>
      <c r="P19" s="64" t="n">
        <v>4.5</v>
      </c>
      <c r="Q19" s="63" t="n">
        <v>335</v>
      </c>
      <c r="R19" s="63" t="n">
        <v>143786</v>
      </c>
      <c r="S19" s="63"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59" t="n">
        <v>49.95</v>
      </c>
      <c r="H20" s="32" t="inlineStr">
        <is>
          <t>Helium 10 Xray, 2026-10-13</t>
        </is>
      </c>
      <c r="I20" s="60" t="n">
        <v>49.95</v>
      </c>
      <c r="J20" s="61" t="inlineStr">
        <is>
          <t>2026-03-30</t>
        </is>
      </c>
      <c r="K20" s="33" t="n">
        <v>18.11</v>
      </c>
      <c r="L20" s="62" t="n">
        <v>0.3625625625625625</v>
      </c>
      <c r="M20" s="63" t="n">
        <v>11</v>
      </c>
      <c r="N20" s="32" t="inlineStr">
        <is>
          <t>Active</t>
        </is>
      </c>
      <c r="O20" s="32" t="n"/>
      <c r="P20" s="64" t="n">
        <v>4.5</v>
      </c>
      <c r="Q20" s="63" t="n">
        <v>335</v>
      </c>
      <c r="R20" s="63" t="n">
        <v>143792</v>
      </c>
      <c r="S20" s="63"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59" t="n">
        <v>44.95</v>
      </c>
      <c r="H21" s="32" t="inlineStr">
        <is>
          <t>Helium 10 Xray, 2026-10-13</t>
        </is>
      </c>
      <c r="I21" s="60" t="n">
        <v>44.95</v>
      </c>
      <c r="J21" s="61" t="inlineStr">
        <is>
          <t>2026-03-30</t>
        </is>
      </c>
      <c r="K21" s="33" t="n">
        <v>17.48</v>
      </c>
      <c r="L21" s="62" t="n">
        <v>0.3888765294771968</v>
      </c>
      <c r="M21" s="63" t="n">
        <v>10</v>
      </c>
      <c r="N21" s="32" t="inlineStr">
        <is>
          <t>Active</t>
        </is>
      </c>
      <c r="O21" s="32" t="n"/>
      <c r="P21" s="64" t="n">
        <v>4.5</v>
      </c>
      <c r="Q21" s="63" t="n">
        <v>335</v>
      </c>
      <c r="R21" s="63" t="n">
        <v>143786</v>
      </c>
      <c r="S21" s="63"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59" t="n">
        <v>54.95</v>
      </c>
      <c r="H22" s="32" t="inlineStr">
        <is>
          <t>Helium 10 Xray, 2026-10-13</t>
        </is>
      </c>
      <c r="I22" s="60" t="n">
        <v>54.99</v>
      </c>
      <c r="J22" s="61" t="inlineStr">
        <is>
          <t>2026-03-30</t>
        </is>
      </c>
      <c r="K22" s="33" t="n">
        <v>18.76</v>
      </c>
      <c r="L22" s="62" t="n">
        <v>0.3411529368976178</v>
      </c>
      <c r="M22" s="63" t="n">
        <v>9</v>
      </c>
      <c r="N22" s="32" t="inlineStr">
        <is>
          <t>Active</t>
        </is>
      </c>
      <c r="O22" s="32" t="n"/>
      <c r="P22" s="64" t="n">
        <v>4.5</v>
      </c>
      <c r="Q22" s="63" t="n">
        <v>335</v>
      </c>
      <c r="R22" s="63" t="n">
        <v>143792</v>
      </c>
      <c r="S22" s="63"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59" t="n">
        <v>54.95</v>
      </c>
      <c r="H23" s="32" t="inlineStr">
        <is>
          <t>Helium 10 Xray, 2026-10-13</t>
        </is>
      </c>
      <c r="I23" s="60" t="n">
        <v>70.98999999999999</v>
      </c>
      <c r="J23" s="61" t="inlineStr">
        <is>
          <t>2026-03-30</t>
        </is>
      </c>
      <c r="K23" s="33" t="n">
        <v>32.64</v>
      </c>
      <c r="L23" s="62" t="n">
        <v>0.4597830680377518</v>
      </c>
      <c r="M23" s="63" t="n">
        <v>8</v>
      </c>
      <c r="N23" s="32" t="inlineStr">
        <is>
          <t>Active</t>
        </is>
      </c>
      <c r="O23" s="32" t="inlineStr">
        <is>
          <t>Yes (34%)</t>
        </is>
      </c>
      <c r="P23" s="64" t="n">
        <v>4.5</v>
      </c>
      <c r="Q23" s="63" t="n">
        <v>335</v>
      </c>
      <c r="R23" s="63" t="n">
        <v>143792</v>
      </c>
      <c r="S23" s="63"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59" t="n">
        <v>44.95</v>
      </c>
      <c r="H24" s="32" t="inlineStr">
        <is>
          <t>Helium 10 Xray, 2026-10-13</t>
        </is>
      </c>
      <c r="I24" s="60" t="n">
        <v>44.95</v>
      </c>
      <c r="J24" s="61" t="inlineStr">
        <is>
          <t>2026-03-30</t>
        </is>
      </c>
      <c r="K24" s="33" t="n">
        <v>16.11</v>
      </c>
      <c r="L24" s="62" t="n">
        <v>0.3583982202447163</v>
      </c>
      <c r="M24" s="63" t="n">
        <v>7</v>
      </c>
      <c r="N24" s="32" t="inlineStr">
        <is>
          <t>Active</t>
        </is>
      </c>
      <c r="O24" s="32" t="n"/>
      <c r="P24" s="64" t="n">
        <v>4.5</v>
      </c>
      <c r="Q24" s="63" t="n">
        <v>335</v>
      </c>
      <c r="R24" s="63" t="n">
        <v>143792</v>
      </c>
      <c r="S24" s="63"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59" t="n">
        <v>49.95</v>
      </c>
      <c r="H25" s="32" t="inlineStr">
        <is>
          <t>Helium 10 Xray, 2026-10-13</t>
        </is>
      </c>
      <c r="I25" s="60" t="n">
        <v>49.95</v>
      </c>
      <c r="J25" s="61" t="inlineStr">
        <is>
          <t>2026-03-30</t>
        </is>
      </c>
      <c r="K25" s="33" t="n"/>
      <c r="L25" s="62" t="n"/>
      <c r="M25" s="63" t="n">
        <v>6</v>
      </c>
      <c r="N25" s="32" t="inlineStr">
        <is>
          <t>Active</t>
        </is>
      </c>
      <c r="O25" s="32" t="n"/>
      <c r="P25" s="64" t="n">
        <v>4.5</v>
      </c>
      <c r="Q25" s="63" t="n">
        <v>335</v>
      </c>
      <c r="R25" s="63" t="n">
        <v>143786</v>
      </c>
      <c r="S25" s="63"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59" t="n">
        <v>44.95</v>
      </c>
      <c r="H26" s="32" t="inlineStr">
        <is>
          <t>Helium 10 Xray, 2026-10-13</t>
        </is>
      </c>
      <c r="I26" s="60" t="n">
        <v>55.99</v>
      </c>
      <c r="J26" s="61" t="inlineStr">
        <is>
          <t>2026-03-30</t>
        </is>
      </c>
      <c r="K26" s="33" t="n">
        <v>17.94</v>
      </c>
      <c r="L26" s="62" t="n">
        <v>0.3204143597070906</v>
      </c>
      <c r="M26" s="63" t="n">
        <v>6</v>
      </c>
      <c r="N26" s="32" t="inlineStr">
        <is>
          <t>Active</t>
        </is>
      </c>
      <c r="O26" s="32" t="n"/>
      <c r="P26" s="64" t="n">
        <v>4.5</v>
      </c>
      <c r="Q26" s="63" t="n">
        <v>335</v>
      </c>
      <c r="R26" s="63" t="n">
        <v>143792</v>
      </c>
      <c r="S26" s="63"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59" t="n">
        <v>44.95</v>
      </c>
      <c r="H27" s="32" t="inlineStr">
        <is>
          <t>Helium 10 Xray, 2026-10-13</t>
        </is>
      </c>
      <c r="I27" s="60" t="n">
        <v>44.95</v>
      </c>
      <c r="J27" s="61" t="inlineStr">
        <is>
          <t>2026-03-30</t>
        </is>
      </c>
      <c r="K27" s="33" t="n">
        <v>13.03</v>
      </c>
      <c r="L27" s="62" t="n">
        <v>0.2898776418242491</v>
      </c>
      <c r="M27" s="63" t="n">
        <v>6</v>
      </c>
      <c r="N27" s="32" t="inlineStr">
        <is>
          <t>Active</t>
        </is>
      </c>
      <c r="O27" s="32" t="n"/>
      <c r="P27" s="64" t="n">
        <v>4.5</v>
      </c>
      <c r="Q27" s="63" t="n">
        <v>335</v>
      </c>
      <c r="R27" s="63" t="n">
        <v>143792</v>
      </c>
      <c r="S27" s="63"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59" t="n">
        <v>54.95</v>
      </c>
      <c r="H28" s="32" t="inlineStr">
        <is>
          <t>Helium 10 Xray, 2026-10-13</t>
        </is>
      </c>
      <c r="I28" s="60" t="n">
        <v>70.98999999999999</v>
      </c>
      <c r="J28" s="61" t="inlineStr">
        <is>
          <t>2026-03-30</t>
        </is>
      </c>
      <c r="K28" s="33" t="n">
        <v>32.59</v>
      </c>
      <c r="L28" s="62" t="n">
        <v>0.4590787434849979</v>
      </c>
      <c r="M28" s="63" t="n">
        <v>4</v>
      </c>
      <c r="N28" s="32" t="inlineStr">
        <is>
          <t>Active</t>
        </is>
      </c>
      <c r="O28" s="32" t="n"/>
      <c r="P28" s="64" t="n">
        <v>4.5</v>
      </c>
      <c r="Q28" s="63" t="n">
        <v>335</v>
      </c>
      <c r="R28" s="63" t="n">
        <v>143786</v>
      </c>
      <c r="S28" s="63"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59" t="n">
        <v>49.95</v>
      </c>
      <c r="H29" s="32" t="inlineStr">
        <is>
          <t>Helium 10 Xray, 2026-10-13</t>
        </is>
      </c>
      <c r="I29" s="60" t="n">
        <v>49.99</v>
      </c>
      <c r="J29" s="61" t="inlineStr">
        <is>
          <t>2026-03-30</t>
        </is>
      </c>
      <c r="K29" s="33" t="n">
        <v>18.5</v>
      </c>
      <c r="L29" s="62" t="n">
        <v>0.3700740148029606</v>
      </c>
      <c r="M29" s="63" t="n">
        <v>4</v>
      </c>
      <c r="N29" s="32" t="inlineStr">
        <is>
          <t>Active</t>
        </is>
      </c>
      <c r="O29" s="32" t="n"/>
      <c r="P29" s="64" t="n">
        <v>4.5</v>
      </c>
      <c r="Q29" s="63" t="n">
        <v>335</v>
      </c>
      <c r="R29" s="63" t="n">
        <v>143786</v>
      </c>
      <c r="S29" s="63"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59" t="n">
        <v>54.95</v>
      </c>
      <c r="H30" s="32" t="inlineStr">
        <is>
          <t>Helium 10 Xray, 2026-10-13</t>
        </is>
      </c>
      <c r="I30" s="33" t="n"/>
      <c r="J30" s="32" t="n"/>
      <c r="K30" s="33" t="n"/>
      <c r="L30" s="62" t="n"/>
      <c r="M30" s="63" t="n">
        <v>3</v>
      </c>
      <c r="N30" s="32" t="inlineStr">
        <is>
          <t>Active</t>
        </is>
      </c>
      <c r="O30" s="32" t="n"/>
      <c r="P30" s="64" t="n">
        <v>4.5</v>
      </c>
      <c r="Q30" s="63" t="n">
        <v>335</v>
      </c>
      <c r="R30" s="63" t="n">
        <v>143792</v>
      </c>
      <c r="S30" s="63"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59" t="n">
        <v>54.95</v>
      </c>
      <c r="H31" s="32" t="inlineStr">
        <is>
          <t>Helium 10 Xray, 2026-10-13</t>
        </is>
      </c>
      <c r="I31" s="60" t="n">
        <v>54.95</v>
      </c>
      <c r="J31" s="61" t="inlineStr">
        <is>
          <t>2026-03-30</t>
        </is>
      </c>
      <c r="K31" s="33" t="n">
        <v>18.96</v>
      </c>
      <c r="L31" s="62" t="n">
        <v>0.3450409463148317</v>
      </c>
      <c r="M31" s="63" t="n">
        <v>3</v>
      </c>
      <c r="N31" s="32" t="inlineStr">
        <is>
          <t>Active</t>
        </is>
      </c>
      <c r="O31" s="32" t="n"/>
      <c r="P31" s="64" t="n">
        <v>4.5</v>
      </c>
      <c r="Q31" s="63" t="n">
        <v>335</v>
      </c>
      <c r="R31" s="63" t="n">
        <v>143792</v>
      </c>
      <c r="S31" s="63"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59" t="n">
        <v>49.95</v>
      </c>
      <c r="H32" s="32" t="inlineStr">
        <is>
          <t>Helium 10 Xray, 2026-10-13</t>
        </is>
      </c>
      <c r="I32" s="60" t="n">
        <v>49.99</v>
      </c>
      <c r="J32" s="61" t="inlineStr">
        <is>
          <t>2026-03-30</t>
        </is>
      </c>
      <c r="K32" s="33" t="n">
        <v>15.46</v>
      </c>
      <c r="L32" s="62" t="n">
        <v>0.3092618523704741</v>
      </c>
      <c r="M32" s="63" t="n">
        <v>3</v>
      </c>
      <c r="N32" s="32" t="inlineStr">
        <is>
          <t>Active</t>
        </is>
      </c>
      <c r="O32" s="32" t="n"/>
      <c r="P32" s="64" t="n">
        <v>4.5</v>
      </c>
      <c r="Q32" s="63" t="n">
        <v>335</v>
      </c>
      <c r="R32" s="63" t="n">
        <v>143792</v>
      </c>
      <c r="S32" s="63"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59" t="n">
        <v>49.95</v>
      </c>
      <c r="H33" s="32" t="inlineStr">
        <is>
          <t>Helium 10 Xray, 2026-10-13</t>
        </is>
      </c>
      <c r="I33" s="60" t="n">
        <v>49.95</v>
      </c>
      <c r="J33" s="61" t="inlineStr">
        <is>
          <t>2026-03-30</t>
        </is>
      </c>
      <c r="K33" s="33" t="n">
        <v>15.18</v>
      </c>
      <c r="L33" s="62" t="n">
        <v>0.3039039039039039</v>
      </c>
      <c r="M33" s="63" t="n">
        <v>3</v>
      </c>
      <c r="N33" s="32" t="inlineStr">
        <is>
          <t>Active</t>
        </is>
      </c>
      <c r="O33" s="32" t="n"/>
      <c r="P33" s="64" t="n">
        <v>4.5</v>
      </c>
      <c r="Q33" s="63" t="n">
        <v>335</v>
      </c>
      <c r="R33" s="63" t="n">
        <v>143792</v>
      </c>
      <c r="S33" s="63"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59" t="n">
        <v>49.95</v>
      </c>
      <c r="H34" s="32" t="inlineStr">
        <is>
          <t>Helium 10 Xray, 2026-10-13</t>
        </is>
      </c>
      <c r="I34" s="60" t="n">
        <v>49.99</v>
      </c>
      <c r="J34" s="61" t="inlineStr">
        <is>
          <t>2026-03-30</t>
        </is>
      </c>
      <c r="K34" s="33" t="n">
        <v>15.21</v>
      </c>
      <c r="L34" s="62" t="n">
        <v>0.3042608521704341</v>
      </c>
      <c r="M34" s="63" t="n">
        <v>1</v>
      </c>
      <c r="N34" s="32" t="inlineStr">
        <is>
          <t>Active</t>
        </is>
      </c>
      <c r="O34" s="32" t="n"/>
      <c r="P34" s="64" t="n">
        <v>4.5</v>
      </c>
      <c r="Q34" s="63" t="n">
        <v>335</v>
      </c>
      <c r="R34" s="63" t="n">
        <v>143792</v>
      </c>
      <c r="S34" s="63"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0" t="n">
        <v>54.95</v>
      </c>
      <c r="J35" s="61" t="inlineStr">
        <is>
          <t>2026-03-30</t>
        </is>
      </c>
      <c r="K35" s="33" t="n">
        <v>18.73</v>
      </c>
      <c r="L35" s="62" t="n">
        <v>0.3408553230209281</v>
      </c>
      <c r="M35" s="63" t="n"/>
      <c r="N35" s="32" t="inlineStr">
        <is>
          <t>Inactive</t>
        </is>
      </c>
      <c r="O35" s="32" t="n"/>
      <c r="P35" s="64" t="n"/>
      <c r="Q35" s="63" t="n"/>
      <c r="R35" s="63" t="n"/>
      <c r="S35" s="63" t="n"/>
      <c r="T35" s="32" t="n"/>
    </row>
    <row r="37" ht="20" customHeight="1">
      <c r="A37" s="53" t="inlineStr">
        <is>
          <t>3 · OUR BFCM 2025 RESULT &amp; EVENT VISIBILITY</t>
        </is>
      </c>
    </row>
    <row r="38">
      <c r="A38" s="66" t="inlineStr">
        <is>
          <t>Window</t>
        </is>
      </c>
      <c r="B38" s="67" t="n"/>
      <c r="C38" s="68" t="n"/>
      <c r="D38" s="66" t="inlineStr">
        <is>
          <t>Ad spend</t>
        </is>
      </c>
      <c r="E38" s="66" t="inlineStr">
        <is>
          <t>Ad sales</t>
        </is>
      </c>
      <c r="F38" s="66" t="inlineStr">
        <is>
          <t>ACoS</t>
        </is>
      </c>
      <c r="G38" s="66" t="inlineStr">
        <is>
          <t>TACoS</t>
        </is>
      </c>
      <c r="H38" s="66" t="inlineStr">
        <is>
          <t>Total sales (derived)</t>
        </is>
      </c>
      <c r="J38" s="66" t="inlineStr">
        <is>
          <t>Ad orders</t>
        </is>
      </c>
      <c r="K38" s="66" t="inlineStr">
        <is>
          <t>CVR</t>
        </is>
      </c>
    </row>
    <row r="39">
      <c r="A39" s="69" t="inlineStr">
        <is>
          <t>Pre-event Oct 21 - Nov 19, 2025 (30d)</t>
        </is>
      </c>
      <c r="B39" s="67" t="n"/>
      <c r="C39" s="68" t="n"/>
      <c r="D39" s="70" t="n">
        <v>3005.58</v>
      </c>
      <c r="E39" s="70" t="n">
        <v>6317.499999999999</v>
      </c>
      <c r="F39" s="71" t="n">
        <v>47.6</v>
      </c>
      <c r="G39" s="71" t="n">
        <v>31.62772979872651</v>
      </c>
      <c r="H39" s="70" t="n">
        <v>9502.99</v>
      </c>
      <c r="J39" s="72" t="n">
        <v>99</v>
      </c>
      <c r="K39" s="73" t="n">
        <v>9.24</v>
      </c>
    </row>
    <row r="40">
      <c r="A40" s="69" t="inlineStr">
        <is>
          <t>BFCM week Nov 20 - Dec 1, 2025 (12d)</t>
        </is>
      </c>
      <c r="B40" s="67" t="n"/>
      <c r="C40" s="68" t="n"/>
      <c r="D40" s="70" t="n">
        <v>1726.4</v>
      </c>
      <c r="E40" s="70" t="n">
        <v>3131.57</v>
      </c>
      <c r="F40" s="71" t="n">
        <v>55.1</v>
      </c>
      <c r="G40" s="71" t="n">
        <v>33.57161191963349</v>
      </c>
      <c r="H40" s="70" t="n">
        <v>5142.44</v>
      </c>
      <c r="J40" s="72" t="n">
        <v>56</v>
      </c>
      <c r="K40" s="73" t="n">
        <v>8.26</v>
      </c>
    </row>
    <row r="41">
      <c r="A41" s="69" t="inlineStr">
        <is>
          <t>December 2 - 31, 2025 (30d)</t>
        </is>
      </c>
      <c r="B41" s="67" t="n"/>
      <c r="C41" s="68" t="n"/>
      <c r="D41" s="70" t="n">
        <v>4100.75</v>
      </c>
      <c r="E41" s="70" t="n">
        <v>15012.38</v>
      </c>
      <c r="F41" s="71" t="n">
        <v>27.3</v>
      </c>
      <c r="G41" s="71" t="n">
        <v>14.43817261657044</v>
      </c>
      <c r="H41" s="70" t="n">
        <v>28402.14</v>
      </c>
      <c r="J41" s="72" t="n">
        <v>250</v>
      </c>
      <c r="K41" s="73" t="n">
        <v>13.51</v>
      </c>
    </row>
    <row r="43">
      <c r="A43" s="66" t="inlineStr">
        <is>
          <t>Actual sales (SellerBoard)</t>
        </is>
      </c>
      <c r="B43" s="67" t="n"/>
      <c r="C43" s="68" t="n"/>
      <c r="D43" s="66" t="inlineStr">
        <is>
          <t>Sales</t>
        </is>
      </c>
      <c r="E43" s="66" t="inlineStr">
        <is>
          <t>Units</t>
        </is>
      </c>
      <c r="F43" s="66" t="inlineStr">
        <is>
          <t>Organic units</t>
        </is>
      </c>
      <c r="G43" s="66" t="inlineStr">
        <is>
          <t>Ad units</t>
        </is>
      </c>
      <c r="H43" s="66" t="inlineStr">
        <is>
          <t>Ad cost</t>
        </is>
      </c>
      <c r="J43" s="66" t="inlineStr">
        <is>
          <t>TACoS (actual)</t>
        </is>
      </c>
      <c r="K43" s="66" t="inlineStr">
        <is>
          <t>Sessions</t>
        </is>
      </c>
      <c r="L43" s="66" t="inlineStr">
        <is>
          <t>Unit session %</t>
        </is>
      </c>
      <c r="M43" s="66" t="inlineStr">
        <is>
          <t>Avg price</t>
        </is>
      </c>
      <c r="N43" s="66" t="inlineStr">
        <is>
          <t>Refunds</t>
        </is>
      </c>
    </row>
    <row r="44">
      <c r="A44" s="69" t="inlineStr">
        <is>
          <t>Pre-event Oct 21 - Nov 19, 2025 (30d)</t>
        </is>
      </c>
      <c r="B44" s="67" t="n"/>
      <c r="C44" s="68" t="n"/>
      <c r="D44" s="70" t="n">
        <v>9502.99</v>
      </c>
      <c r="E44" s="72" t="n">
        <v>189</v>
      </c>
      <c r="F44" s="72" t="n">
        <v>175</v>
      </c>
      <c r="G44" s="72" t="n">
        <v>14</v>
      </c>
      <c r="H44" s="70" t="n">
        <v>3013.44</v>
      </c>
      <c r="J44" s="74" t="n">
        <v>0.3171044060869264</v>
      </c>
      <c r="K44" s="72" t="n">
        <v>3572</v>
      </c>
      <c r="L44" s="74" t="n">
        <v>0.05291153415453528</v>
      </c>
      <c r="M44" s="75" t="n">
        <v>50.28037037037037</v>
      </c>
      <c r="N44" s="72" t="n">
        <v>15</v>
      </c>
    </row>
    <row r="45">
      <c r="A45" s="69" t="inlineStr">
        <is>
          <t>BFCM week Nov 20 - Dec 1, 2025 (12d)</t>
        </is>
      </c>
      <c r="B45" s="67" t="n"/>
      <c r="C45" s="68" t="n"/>
      <c r="D45" s="70" t="n">
        <v>5142.44</v>
      </c>
      <c r="E45" s="72" t="n">
        <v>104</v>
      </c>
      <c r="F45" s="72" t="n">
        <v>86</v>
      </c>
      <c r="G45" s="72" t="n">
        <v>18</v>
      </c>
      <c r="H45" s="70" t="n">
        <v>1726.4</v>
      </c>
      <c r="J45" s="74" t="n">
        <v>0.3357161191963349</v>
      </c>
      <c r="K45" s="72" t="n">
        <v>2158</v>
      </c>
      <c r="L45" s="74" t="n">
        <v>0.04819277108433735</v>
      </c>
      <c r="M45" s="75" t="n">
        <v>49.44653846153846</v>
      </c>
      <c r="N45" s="72" t="n">
        <v>10</v>
      </c>
    </row>
    <row r="46">
      <c r="A46" s="69" t="inlineStr">
        <is>
          <t>December 2 - 31, 2025 (30d)</t>
        </is>
      </c>
      <c r="B46" s="67" t="n"/>
      <c r="C46" s="68" t="n"/>
      <c r="D46" s="70" t="n">
        <v>28402.14</v>
      </c>
      <c r="E46" s="72" t="n">
        <v>583</v>
      </c>
      <c r="F46" s="72" t="n">
        <v>519</v>
      </c>
      <c r="G46" s="72" t="n">
        <v>64</v>
      </c>
      <c r="H46" s="70" t="n">
        <v>4117.56</v>
      </c>
      <c r="J46" s="74" t="n">
        <v>0.144973582976494</v>
      </c>
      <c r="K46" s="72" t="n">
        <v>6855</v>
      </c>
      <c r="L46" s="74" t="n">
        <v>0.0850474106491612</v>
      </c>
      <c r="M46" s="75" t="n">
        <v>48.71722126929674</v>
      </c>
      <c r="N46" s="72" t="n">
        <v>28</v>
      </c>
    </row>
    <row r="47">
      <c r="A47" s="58" t="inlineStr">
        <is>
          <t>SellerBoard, Ecotero account, Amazon parent B0DQQQWYPT plus any of this product's child ASINs SellerBoard lists on their own, UTC days. Lift above uses these actual sales (1.35x; the ad-spend estimate was 1.35x).</t>
        </is>
      </c>
    </row>
    <row r="48" ht="30" customHeight="1">
      <c r="A48" s="76"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7" t="inlineStr">
        <is>
          <t>BFCM 2026 plan (BM, Oct 15, 2026): Lightning Deal 11/23 (Best Deal requested: Lightning Deal Nov 23 cancelled in Seller Central while a Best Deal is pursued; if not granted it is rescheduled as a Lightning Deal (Umair Tahir, Oct 13)). Deal price and depth not yet given; not yet visible in Amazon's deal feed.</t>
        </is>
      </c>
    </row>
    <row r="50" ht="30" customHeight="1">
      <c r="A50" s="78" t="inlineStr">
        <is>
          <t>BFCM deal status (Slack): Nov 23 Lightning Deal cancelled in Seller Central while a Best Deal is pursued; if not granted it is rescheduled as a Lightning Deal. [Umair Tahir, #bfcm-2026, 2026-10-13]</t>
        </is>
      </c>
    </row>
    <row r="51" ht="18" customHeight="1">
      <c r="A51" s="79" t="inlineStr">
        <is>
          <t>ASSUMED 2026 deal prices, until BM's final: B0DBR5SY67 today $44.95; $38.21 at 15% off (Nov 19-26) and $35.96 at 20% off (Nov 27-30 (Black Friday to Cyber Monday)). Rule: Umair Tahir via Shayan Rana, Oct 15, 2026. Evidence: our BFCM 2025 deal on B0DBR5SY67 (US, Keepa): $44.95 before, $44.95 during, 0% off; US competitors' median price cut in BFCM 2025: 15% (6 rivals). Amazon may use a lower reference price than today's (it sets it the day before the deal), which would lower the deal price.</t>
        </is>
      </c>
    </row>
    <row r="52" ht="30" customHeight="1">
      <c r="A52" s="76"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3" ht="40" customHeight="1">
      <c r="A53" s="76"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4">
      <c r="A54" s="58" t="inlineStr">
        <is>
          <t>Command Center visibility for our best child B0DBR5SY67: organic score 68.9 before BFCM 2025 → 95.4 in BFCM week; Prime Day 2026 89.0 → 115.5; Aug-Sep 2026 137.5.</t>
        </is>
      </c>
    </row>
    <row r="56" ht="20" customHeight="1">
      <c r="A56" s="53" t="inlineStr">
        <is>
          <t>4 · COMPETITOR LANDSCAPE (29 mapped)</t>
        </is>
      </c>
    </row>
    <row r="57">
      <c r="A57" s="58" t="inlineStr">
        <is>
          <t>Sorted by tier, then estimated weekly units. Green = Command Center price/sales; blue = Data Dive listing; purple = Command Center search strategy (ASINsight); yellow = fill from Keepa / page check.</t>
        </is>
      </c>
    </row>
    <row r="58">
      <c r="A58" s="80" t="inlineStr">
        <is>
          <t>COMPETITOR</t>
        </is>
      </c>
      <c r="I58" s="81" t="inlineStr">
        <is>
          <t>LISTING - Data Dive</t>
        </is>
      </c>
      <c r="J58" s="82" t="inlineStr">
        <is>
          <t>SEARCH STRATEGY - Command Center ASINsight</t>
        </is>
      </c>
      <c r="K58" s="83" t="inlineStr">
        <is>
          <t>PRICE &amp; SALES - Command Center snapshot (date per row)</t>
        </is>
      </c>
      <c r="X58" s="81" t="inlineStr">
        <is>
          <t>LISTING - Data Dive</t>
        </is>
      </c>
      <c r="AA58" s="82" t="inlineStr">
        <is>
          <t>SEARCH STRATEGY - Command Center ASINsight</t>
        </is>
      </c>
      <c r="AR58" s="84" t="inlineStr">
        <is>
          <t>STR NOW - Amazon page check (Oct 13, P1 + P2)</t>
        </is>
      </c>
      <c r="AY58" s="85"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_xlfn.IMAGE("https://images-na.ssl-images-amazon.com/images/I/51Tn3ZSyhlL.jpg")</f>
        <v/>
      </c>
      <c r="B60" s="86" t="inlineStr">
        <is>
          <t>INFIIXSO</t>
        </is>
      </c>
      <c r="C60" s="32" t="inlineStr">
        <is>
          <t>Blissy Silk Pillowcase - 100% Pure Mulberry Silk - 22 Momme 6A High-Grade Fibers - Silk Pillow Cover for Hair &amp; Skin - Regular, Queen &amp; King (Blissy White, Standard)</t>
        </is>
      </c>
      <c r="D60" s="86" t="inlineStr">
        <is>
          <t>Aspirational</t>
        </is>
      </c>
      <c r="E60" s="87" t="inlineStr">
        <is>
          <t>B0D9FCH7Q5</t>
        </is>
      </c>
      <c r="F60" s="87" t="inlineStr">
        <is>
          <t>B0BBSSRNHM</t>
        </is>
      </c>
      <c r="G60" s="86" t="inlineStr">
        <is>
          <t>Queen</t>
        </is>
      </c>
      <c r="H60" s="86" t="inlineStr">
        <is>
          <t>Blissy White</t>
        </is>
      </c>
      <c r="I60" s="88" t="n">
        <v>67</v>
      </c>
      <c r="J60" s="32" t="inlineStr">
        <is>
          <t>B0BBSSRNHM (51%), B0BFDH1DL4 (12%), B0BBSTPJDP (10%), B0BFDGWX25 (8%)</t>
        </is>
      </c>
      <c r="K60" s="89" t="n">
        <v>57.98</v>
      </c>
      <c r="L60" s="89" t="n"/>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346</v>
      </c>
      <c r="S60" s="88" t="n">
        <v>1732</v>
      </c>
      <c r="T60" s="93">
        <f>IF(AND(ISNUMBER(K60),ISNUMBER(S60)),K60*S60*52/12,"")</f>
        <v/>
      </c>
      <c r="U60" s="94" t="n">
        <v>4.5</v>
      </c>
      <c r="V60" s="88" t="n">
        <v>10441</v>
      </c>
      <c r="W60" s="95" t="n">
        <v>46307</v>
      </c>
      <c r="X60" s="95" t="n">
        <v>44824</v>
      </c>
      <c r="Y60" s="86" t="inlineStr">
        <is>
          <t>FBA</t>
        </is>
      </c>
      <c r="Z60" s="86" t="inlineStr">
        <is>
          <t>US</t>
        </is>
      </c>
      <c r="AA60" s="88" t="n">
        <v>772937</v>
      </c>
      <c r="AB60" s="88" t="n">
        <v>1631</v>
      </c>
      <c r="AC60" s="96" t="n">
        <v>0.5177595494846295</v>
      </c>
      <c r="AD60" s="96" t="n">
        <v>0.4822405250363212</v>
      </c>
      <c r="AE60" s="32" t="inlineStr">
        <is>
          <t>silk pillow cases</t>
        </is>
      </c>
      <c r="AF60" s="96" t="n">
        <v>0.9705047112507229</v>
      </c>
      <c r="AG60" s="96" t="n">
        <v>0.8800005692572616</v>
      </c>
      <c r="AH60" s="96" t="n">
        <v>0.4979254454114631</v>
      </c>
      <c r="AI60" s="96" t="n">
        <v>0.2410455185868965</v>
      </c>
      <c r="AJ60" s="88" t="n">
        <v>267</v>
      </c>
      <c r="AK60" s="88" t="n">
        <v>11</v>
      </c>
      <c r="AL60" s="88" t="n">
        <v>243</v>
      </c>
      <c r="AM60" s="88" t="n">
        <v>1364</v>
      </c>
      <c r="AN60" s="88" t="n">
        <v>682</v>
      </c>
      <c r="AO60" s="88" t="n">
        <v>20</v>
      </c>
      <c r="AP60" s="97" t="n">
        <v>1.447018931901667</v>
      </c>
      <c r="AQ60" s="92" t="n">
        <v>0.04067576348278101</v>
      </c>
      <c r="AR60" s="98" t="inlineStr">
        <is>
          <t>N</t>
        </is>
      </c>
      <c r="AS60" s="98" t="inlineStr">
        <is>
          <t>none</t>
        </is>
      </c>
      <c r="AT60" s="104" t="n"/>
      <c r="AU60" s="99" t="n">
        <v>57.98</v>
      </c>
      <c r="AV60" s="98" t="inlineStr">
        <is>
          <t>none</t>
        </is>
      </c>
      <c r="AW60" s="98" t="inlineStr">
        <is>
          <t>Y</t>
        </is>
      </c>
      <c r="AX60" s="98" t="inlineStr">
        <is>
          <t>2026-10-13 23:45:39</t>
        </is>
      </c>
      <c r="AY60" s="100" t="inlineStr">
        <is>
          <t>Prime Exclusive Discount</t>
        </is>
      </c>
      <c r="AZ60" s="100" t="inlineStr">
        <is>
          <t>11-20 to 12-01</t>
        </is>
      </c>
      <c r="BA60" s="101" t="n">
        <v>54.89</v>
      </c>
      <c r="BB60" s="101" t="n">
        <v>39.47</v>
      </c>
      <c r="BC60" s="90">
        <f>IF(AND(ISNUMBER(BA60),ISNUMBER(BB60),N(BA60)&gt;0),1-BB60/BA60,"")</f>
        <v/>
      </c>
      <c r="BD60" s="102" t="n">
        <v>652</v>
      </c>
      <c r="BE60" s="102" t="n">
        <v>142</v>
      </c>
      <c r="BF60" s="103">
        <f>IF(AND(ISNUMBER(BD60),ISNUMBER(BE60),N(BE60)&gt;0),BD60/BE60,"")</f>
        <v/>
      </c>
      <c r="BG60" s="100" t="inlineStr">
        <is>
          <t>N</t>
        </is>
      </c>
      <c r="BH60" s="100" t="inlineStr">
        <is>
          <t>List Price $109.85</t>
        </is>
      </c>
    </row>
    <row r="61" ht="62" customHeight="1">
      <c r="A61" s="10">
        <f>_xlfn.IMAGE("https://images-na.ssl-images-amazon.com/images/I/61h02IUI3OL.jpg")</f>
        <v/>
      </c>
      <c r="B61" s="86" t="inlineStr">
        <is>
          <t>ZIMASILK</t>
        </is>
      </c>
      <c r="C61" s="32" t="inlineStr">
        <is>
          <t>ZIMASILK 100% Pure Mulberry Silk Pillow Cases for Hair and Skin, Soft, Hypoallergenic &amp; Smooth, Both Sides Grade 6A Silk, with Hidden Zipper, Gift for Women Men, 1pc (Queen 20''x30'', Taupe)</t>
        </is>
      </c>
      <c r="D61" s="86" t="inlineStr">
        <is>
          <t>Aspirational</t>
        </is>
      </c>
      <c r="E61" s="87" t="inlineStr">
        <is>
          <t>B01LVZC25I</t>
        </is>
      </c>
      <c r="F61" s="87" t="inlineStr">
        <is>
          <t>B01LVU7THF</t>
        </is>
      </c>
      <c r="G61" s="86" t="inlineStr">
        <is>
          <t>Queen</t>
        </is>
      </c>
      <c r="H61" s="86" t="inlineStr">
        <is>
          <t>Taupe</t>
        </is>
      </c>
      <c r="I61" s="88" t="n">
        <v>115</v>
      </c>
      <c r="J61" s="32" t="inlineStr">
        <is>
          <t>B01LVU7THF (59%), B01LWAH6B4 (9%), B083FH4KF7 (7%), B06XF1XMC2 (6%)</t>
        </is>
      </c>
      <c r="K61" s="89" t="n">
        <v>23.91</v>
      </c>
      <c r="L61" s="89" t="n">
        <v>25.99</v>
      </c>
      <c r="M61" s="90">
        <f>IF(AND(ISNUMBER(L61),ISNUMBER(K61),N(K61)&gt;0),L61/K61-1,"")</f>
        <v/>
      </c>
      <c r="N61" s="91">
        <f>IF(M61="","No List Price",IF(M61&lt;=0,"At/below price",IF(M61&lt;=0.12,"&lt;=12% STR zone",IF(M61&lt;=0.25,"12-25%","&gt;25% over"))))</f>
        <v/>
      </c>
      <c r="O61" s="89" t="n">
        <v>49.95</v>
      </c>
      <c r="P61" s="92">
        <f>IF(AND(ISNUMBER(K61),ISNUMBER(O61),N(O61)&gt;0),K61/O61-1,"")</f>
        <v/>
      </c>
      <c r="Q61" s="32" t="inlineStr">
        <is>
          <t>Same size (Queen). Ours live: Helium 10 Xray, 2026-10-13; 6 children</t>
        </is>
      </c>
      <c r="R61" s="88" t="n">
        <v>532</v>
      </c>
      <c r="S61" s="88" t="n">
        <v>809</v>
      </c>
      <c r="T61" s="93">
        <f>IF(AND(ISNUMBER(K61),ISNUMBER(S61)),K61*S61*52/12,"")</f>
        <v/>
      </c>
      <c r="U61" s="94" t="n">
        <v>4.6</v>
      </c>
      <c r="V61" s="88" t="n">
        <v>52198</v>
      </c>
      <c r="W61" s="95" t="n">
        <v>46307</v>
      </c>
      <c r="X61" s="95" t="n">
        <v>42623</v>
      </c>
      <c r="Y61" s="86" t="inlineStr">
        <is>
          <t>FBA</t>
        </is>
      </c>
      <c r="Z61" s="86" t="inlineStr">
        <is>
          <t>CN</t>
        </is>
      </c>
      <c r="AA61" s="88" t="n">
        <v>576174</v>
      </c>
      <c r="AB61" s="88" t="n">
        <v>1490</v>
      </c>
      <c r="AC61" s="96" t="n">
        <v>0.6856568015911867</v>
      </c>
      <c r="AD61" s="96" t="n">
        <v>0.3143432261782024</v>
      </c>
      <c r="AE61" s="32" t="inlineStr">
        <is>
          <t>silk pillow cases</t>
        </is>
      </c>
      <c r="AF61" s="96" t="n">
        <v>0.9619611436822905</v>
      </c>
      <c r="AG61" s="96" t="n">
        <v>0.8398383127319178</v>
      </c>
      <c r="AH61" s="96" t="n">
        <v>0.8113573330278701</v>
      </c>
      <c r="AI61" s="96" t="n">
        <v>0.1688552416457529</v>
      </c>
      <c r="AJ61" s="88" t="n">
        <v>266</v>
      </c>
      <c r="AK61" s="88" t="n">
        <v>12</v>
      </c>
      <c r="AL61" s="88" t="n">
        <v>245</v>
      </c>
      <c r="AM61" s="88" t="n">
        <v>1224</v>
      </c>
      <c r="AN61" s="88" t="n">
        <v>504</v>
      </c>
      <c r="AO61" s="88" t="n">
        <v>21</v>
      </c>
      <c r="AP61" s="97" t="n">
        <v>0.9883495145631068</v>
      </c>
      <c r="AQ61" s="92" t="n">
        <v>-0.02034217971170671</v>
      </c>
      <c r="AR61" s="98" t="inlineStr">
        <is>
          <t>Y</t>
        </is>
      </c>
      <c r="AS61" s="98" t="inlineStr">
        <is>
          <t>List Price</t>
        </is>
      </c>
      <c r="AT61" s="99" t="n">
        <v>25.99</v>
      </c>
      <c r="AU61" s="99" t="n">
        <v>23.91</v>
      </c>
      <c r="AV61" s="98" t="inlineStr">
        <is>
          <t>none</t>
        </is>
      </c>
      <c r="AW61" s="98" t="inlineStr">
        <is>
          <t>Y</t>
        </is>
      </c>
      <c r="AX61" s="98" t="inlineStr">
        <is>
          <t>2026-10-13 23:47:16</t>
        </is>
      </c>
      <c r="AY61" s="100" t="inlineStr">
        <is>
          <t>Lightning Deal</t>
        </is>
      </c>
      <c r="AZ61" s="100" t="inlineStr">
        <is>
          <t>11-05 to 11-29</t>
        </is>
      </c>
      <c r="BA61" s="101" t="n">
        <v>24.99</v>
      </c>
      <c r="BB61" s="101" t="n">
        <v>19.49</v>
      </c>
      <c r="BC61" s="90">
        <f>IF(AND(ISNUMBER(BA61),ISNUMBER(BB61),N(BA61)&gt;0),1-BB61/BA61,"")</f>
        <v/>
      </c>
      <c r="BD61" s="102" t="n">
        <v>706</v>
      </c>
      <c r="BE61" s="102" t="n">
        <v>899</v>
      </c>
      <c r="BF61" s="103">
        <f>IF(AND(ISNUMBER(BD61),ISNUMBER(BE61),N(BE61)&gt;0),BD61/BE61,"")</f>
        <v/>
      </c>
      <c r="BG61" s="100" t="inlineStr">
        <is>
          <t>N</t>
        </is>
      </c>
      <c r="BH61" s="100" t="inlineStr">
        <is>
          <t>Prime Exclusive 11-26 to 12-01; Coupon 10%, 15% (11-01 to 12-05); List Price $24.99</t>
        </is>
      </c>
    </row>
    <row r="62" ht="62" customHeight="1">
      <c r="A62" s="10">
        <f>_xlfn.IMAGE("https://m.media-amazon.com/images/I/71NWYgxPC1L._AC_SL1500_.jpg")</f>
        <v/>
      </c>
      <c r="B62" s="86" t="inlineStr">
        <is>
          <t>PROMEED</t>
        </is>
      </c>
      <c r="C62" s="32" t="inlineStr">
        <is>
          <t>Silk Pillowcase</t>
        </is>
      </c>
      <c r="D62" s="86" t="inlineStr">
        <is>
          <t>Aspirational</t>
        </is>
      </c>
      <c r="E62" s="87" t="inlineStr">
        <is>
          <t>B0HCMWNG9W</t>
        </is>
      </c>
      <c r="F62" s="87" t="inlineStr">
        <is>
          <t>B0B4RH938T</t>
        </is>
      </c>
      <c r="G62" s="86" t="inlineStr">
        <is>
          <t>Standard 20"x26"</t>
        </is>
      </c>
      <c r="H62" s="86" t="inlineStr">
        <is>
          <t>Champagne</t>
        </is>
      </c>
      <c r="I62" s="88" t="n">
        <v>27</v>
      </c>
      <c r="J62" s="32" t="inlineStr">
        <is>
          <t>B0B4RH938T (77%), B0B4RL1Z8T (11%)</t>
        </is>
      </c>
      <c r="K62" s="89" t="n">
        <v>24</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9074</v>
      </c>
      <c r="S62" s="88" t="n">
        <v>173</v>
      </c>
      <c r="T62" s="93">
        <f>IF(AND(ISNUMBER(K62),ISNUMBER(S62)),K62*S62*52/12,"")</f>
        <v/>
      </c>
      <c r="U62" s="94" t="n">
        <v>4.5</v>
      </c>
      <c r="V62" s="88" t="n">
        <v>1973</v>
      </c>
      <c r="W62" s="95" t="n">
        <v>46307</v>
      </c>
      <c r="X62" s="95" t="n"/>
      <c r="Y62" s="86" t="n"/>
      <c r="Z62" s="86" t="n"/>
      <c r="AA62" s="88" t="n">
        <v>122186</v>
      </c>
      <c r="AB62" s="88" t="n">
        <v>570</v>
      </c>
      <c r="AC62" s="96" t="n">
        <v>0.8164780989638751</v>
      </c>
      <c r="AD62" s="96" t="n">
        <v>0.1835219272257051</v>
      </c>
      <c r="AE62" s="32" t="inlineStr">
        <is>
          <t>silk pillow cases</t>
        </is>
      </c>
      <c r="AF62" s="96" t="n">
        <v>0.3059761347453882</v>
      </c>
      <c r="AG62" s="96" t="n">
        <v>0.2749496669012816</v>
      </c>
      <c r="AH62" s="96" t="n">
        <v>0.9498305861555334</v>
      </c>
      <c r="AI62" s="96" t="n">
        <v>0.01645851406871491</v>
      </c>
      <c r="AJ62" s="88" t="n">
        <v>235</v>
      </c>
      <c r="AK62" s="88" t="n">
        <v>30</v>
      </c>
      <c r="AL62" s="88" t="n">
        <v>191</v>
      </c>
      <c r="AM62" s="88" t="n">
        <v>335</v>
      </c>
      <c r="AN62" s="88" t="n">
        <v>163</v>
      </c>
      <c r="AO62" s="88" t="n">
        <v>12</v>
      </c>
      <c r="AP62" s="97" t="n">
        <v>1.176358798935766</v>
      </c>
      <c r="AQ62" s="92" t="n">
        <v>-0.1592427616926503</v>
      </c>
      <c r="AR62" s="98" t="inlineStr">
        <is>
          <t>N</t>
        </is>
      </c>
      <c r="AS62" s="98" t="inlineStr">
        <is>
          <t>none</t>
        </is>
      </c>
      <c r="AT62" s="104" t="n"/>
      <c r="AU62" s="99" t="n">
        <v>24</v>
      </c>
      <c r="AV62" s="98" t="inlineStr">
        <is>
          <t>coupon 10%</t>
        </is>
      </c>
      <c r="AW62" s="98" t="inlineStr">
        <is>
          <t>Y</t>
        </is>
      </c>
      <c r="AX62" s="98" t="inlineStr">
        <is>
          <t>2026-10-13 23:46:29</t>
        </is>
      </c>
      <c r="AY62" s="100" t="inlineStr">
        <is>
          <t>Prime Exclusive Discount</t>
        </is>
      </c>
      <c r="AZ62" s="100" t="inlineStr">
        <is>
          <t>11-20 to 12-01</t>
        </is>
      </c>
      <c r="BA62" s="101" t="n">
        <v>23</v>
      </c>
      <c r="BB62" s="101" t="n">
        <v>18.4</v>
      </c>
      <c r="BC62" s="90">
        <f>IF(AND(ISNUMBER(BA62),ISNUMBER(BB62),N(BA62)&gt;0),1-BB62/BA62,"")</f>
        <v/>
      </c>
      <c r="BD62" s="102" t="n">
        <v>14714</v>
      </c>
      <c r="BE62" s="102" t="n">
        <v>12377</v>
      </c>
      <c r="BF62" s="103">
        <f>IF(AND(ISNUMBER(BD62),ISNUMBER(BE62),N(BE62)&gt;0),BD62/BE62,"")</f>
        <v/>
      </c>
      <c r="BG62" s="100" t="inlineStr">
        <is>
          <t>N</t>
        </is>
      </c>
      <c r="BH62" s="100" t="inlineStr">
        <is>
          <t>Coupon 10% (11-01 to 12-05); List Price $29.99</t>
        </is>
      </c>
    </row>
    <row r="63" ht="62" customHeight="1">
      <c r="A63" s="10">
        <f>_xlfn.IMAGE("https://m.media-amazon.com/images/I/51E9UkNnbML._AC_SL1500_.jpg")</f>
        <v/>
      </c>
      <c r="B63" s="86" t="inlineStr">
        <is>
          <t>ALASKA BEAR</t>
        </is>
      </c>
      <c r="C63" s="32" t="inlineStr">
        <is>
          <t>Silk Pillowcase</t>
        </is>
      </c>
      <c r="D63" s="86" t="inlineStr">
        <is>
          <t>Aspirational</t>
        </is>
      </c>
      <c r="E63" s="87" t="inlineStr">
        <is>
          <t>B01KFPFUAE</t>
        </is>
      </c>
      <c r="F63" s="87" t="inlineStr">
        <is>
          <t>B00KDL108M</t>
        </is>
      </c>
      <c r="G63" s="86" t="inlineStr">
        <is>
          <t>Queen 20''x30''</t>
        </is>
      </c>
      <c r="H63" s="86" t="inlineStr">
        <is>
          <t>White Ivory</t>
        </is>
      </c>
      <c r="I63" s="88" t="n">
        <v>34</v>
      </c>
      <c r="J63" s="32" t="inlineStr">
        <is>
          <t>B00KDL108M (59%), B07BDD8433 (20%), B01CXQZNC8 (5%)</t>
        </is>
      </c>
      <c r="K63" s="89" t="n">
        <v>25.99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22910</v>
      </c>
      <c r="S63" s="88" t="n">
        <v>92</v>
      </c>
      <c r="T63" s="93">
        <f>IF(AND(ISNUMBER(K63),ISNUMBER(S63)),K63*S63*52/12,"")</f>
        <v/>
      </c>
      <c r="U63" s="94" t="n">
        <v>4.5</v>
      </c>
      <c r="V63" s="88" t="n">
        <v>25340</v>
      </c>
      <c r="W63" s="95" t="n">
        <v>46307</v>
      </c>
      <c r="X63" s="95" t="n"/>
      <c r="Y63" s="86" t="n"/>
      <c r="Z63" s="86" t="n"/>
      <c r="AA63" s="88" t="n">
        <v>209497</v>
      </c>
      <c r="AB63" s="88" t="n">
        <v>1071</v>
      </c>
      <c r="AC63" s="96" t="n">
        <v>0.5683664338868817</v>
      </c>
      <c r="AD63" s="96" t="n">
        <v>0.4316335661131182</v>
      </c>
      <c r="AE63" s="32" t="inlineStr">
        <is>
          <t>silk pillow cases</t>
        </is>
      </c>
      <c r="AF63" s="96" t="n">
        <v>0.7398435299789495</v>
      </c>
      <c r="AG63" s="96" t="n">
        <v>0.3173840198188996</v>
      </c>
      <c r="AH63" s="96" t="n"/>
      <c r="AI63" s="96" t="n">
        <v>0.0102674501305508</v>
      </c>
      <c r="AJ63" s="88" t="n">
        <v>255</v>
      </c>
      <c r="AK63" s="88" t="n">
        <v>27</v>
      </c>
      <c r="AL63" s="88" t="n">
        <v>207</v>
      </c>
      <c r="AM63" s="88" t="n">
        <v>816</v>
      </c>
      <c r="AN63" s="88" t="n">
        <v>388</v>
      </c>
      <c r="AO63" s="88" t="n">
        <v>18</v>
      </c>
      <c r="AP63" s="97" t="n">
        <v>0.3642691415313225</v>
      </c>
      <c r="AQ63" s="92" t="n">
        <v>0.4285714285714284</v>
      </c>
      <c r="AR63" s="98" t="inlineStr">
        <is>
          <t>N</t>
        </is>
      </c>
      <c r="AS63" s="98" t="inlineStr">
        <is>
          <t>none</t>
        </is>
      </c>
      <c r="AT63" s="104" t="n"/>
      <c r="AU63" s="99" t="n">
        <v>25.99</v>
      </c>
      <c r="AV63" s="98" t="inlineStr">
        <is>
          <t>none</t>
        </is>
      </c>
      <c r="AW63" s="98" t="inlineStr">
        <is>
          <t>Y</t>
        </is>
      </c>
      <c r="AX63" s="98" t="inlineStr">
        <is>
          <t>2026-10-13 23:44:46</t>
        </is>
      </c>
      <c r="AY63" s="100" t="inlineStr">
        <is>
          <t>None</t>
        </is>
      </c>
      <c r="AZ63" s="105" t="n"/>
      <c r="BA63" s="101" t="n">
        <v>25.99</v>
      </c>
      <c r="BB63" s="101" t="n">
        <v>25.99</v>
      </c>
      <c r="BC63" s="90">
        <f>IF(AND(ISNUMBER(BA63),ISNUMBER(BB63),N(BA63)&gt;0),1-BB63/BA63,"")</f>
        <v/>
      </c>
      <c r="BD63" s="102" t="n">
        <v>17281</v>
      </c>
      <c r="BE63" s="102" t="n">
        <v>24432</v>
      </c>
      <c r="BF63" s="103">
        <f>IF(AND(ISNUMBER(BD63),ISNUMBER(BE63),N(BE63)&gt;0),BD63/BE63,"")</f>
        <v/>
      </c>
      <c r="BG63" s="100" t="inlineStr">
        <is>
          <t>N</t>
        </is>
      </c>
      <c r="BH63" s="100" t="inlineStr">
        <is>
          <t>List Price $35.99</t>
        </is>
      </c>
    </row>
    <row r="64" ht="62" customHeight="1">
      <c r="A64" s="10">
        <f>_xlfn.IMAGE("https://m.media-amazon.com/images/I/51h6YPERApL._AC_SL1500_.jpg")</f>
        <v/>
      </c>
      <c r="B64" s="86" t="inlineStr">
        <is>
          <t>Fishers Finery</t>
        </is>
      </c>
      <c r="C64" s="32" t="inlineStr">
        <is>
          <t>Silk Pillowcase</t>
        </is>
      </c>
      <c r="D64" s="86" t="inlineStr">
        <is>
          <t>Aspirational</t>
        </is>
      </c>
      <c r="E64" s="87" t="inlineStr">
        <is>
          <t>B0FKC1MD24</t>
        </is>
      </c>
      <c r="F64" s="87" t="inlineStr">
        <is>
          <t>B00FWZW55Q</t>
        </is>
      </c>
      <c r="G64" s="86" t="inlineStr">
        <is>
          <t>Queen (U.S. Standard)</t>
        </is>
      </c>
      <c r="H64" s="86" t="inlineStr">
        <is>
          <t>Natural White (Undyed)</t>
        </is>
      </c>
      <c r="I64" s="88" t="n">
        <v>38</v>
      </c>
      <c r="J64" s="32" t="inlineStr">
        <is>
          <t>B07KWH57X6 (40%), B00FWZW55Q (22%), B00FWZVIWW (11%), B0815WT72G (10%)</t>
        </is>
      </c>
      <c r="K64" s="89" t="n">
        <v>59.99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11579</v>
      </c>
      <c r="S64" s="88" t="n">
        <v>92</v>
      </c>
      <c r="T64" s="93">
        <f>IF(AND(ISNUMBER(K64),ISNUMBER(S64)),K64*S64*52/12,"")</f>
        <v/>
      </c>
      <c r="U64" s="94" t="n">
        <v>4.6</v>
      </c>
      <c r="V64" s="88" t="n">
        <v>9036</v>
      </c>
      <c r="W64" s="95" t="n">
        <v>46307</v>
      </c>
      <c r="X64" s="95" t="n"/>
      <c r="Y64" s="86" t="n"/>
      <c r="Z64" s="86" t="n"/>
      <c r="AA64" s="88" t="n">
        <v>220584</v>
      </c>
      <c r="AB64" s="88" t="n">
        <v>1295</v>
      </c>
      <c r="AC64" s="96" t="n">
        <v>0.4810484871976213</v>
      </c>
      <c r="AD64" s="96" t="n">
        <v>0.5189515128023787</v>
      </c>
      <c r="AE64" s="32" t="inlineStr">
        <is>
          <t>silk pillow cases</t>
        </is>
      </c>
      <c r="AF64" s="96" t="n">
        <v>0.9624270119319625</v>
      </c>
      <c r="AG64" s="96" t="n">
        <v>0.9632702281217133</v>
      </c>
      <c r="AH64" s="96" t="n">
        <v>0.7826496935407826</v>
      </c>
      <c r="AI64" s="96" t="n">
        <v>0.07744895368657745</v>
      </c>
      <c r="AJ64" s="88" t="n">
        <v>269</v>
      </c>
      <c r="AK64" s="88" t="n">
        <v>29</v>
      </c>
      <c r="AL64" s="88" t="n">
        <v>220</v>
      </c>
      <c r="AM64" s="88" t="n">
        <v>1026</v>
      </c>
      <c r="AN64" s="88" t="n">
        <v>505</v>
      </c>
      <c r="AO64" s="88" t="n">
        <v>28</v>
      </c>
      <c r="AP64" s="97" t="n">
        <v>1.226145038167939</v>
      </c>
      <c r="AQ64" s="92" t="n">
        <v>0.4174757281553398</v>
      </c>
      <c r="AR64" s="98" t="inlineStr">
        <is>
          <t>N</t>
        </is>
      </c>
      <c r="AS64" s="98" t="inlineStr">
        <is>
          <t>none</t>
        </is>
      </c>
      <c r="AT64" s="104" t="n"/>
      <c r="AU64" s="99" t="n">
        <v>59.99</v>
      </c>
      <c r="AV64" s="98" t="inlineStr">
        <is>
          <t>none</t>
        </is>
      </c>
      <c r="AW64" s="98" t="inlineStr">
        <is>
          <t>Y</t>
        </is>
      </c>
      <c r="AX64" s="98" t="inlineStr">
        <is>
          <t>2026-10-13 23:45:29</t>
        </is>
      </c>
      <c r="AY64" s="100" t="inlineStr">
        <is>
          <t>None</t>
        </is>
      </c>
      <c r="AZ64" s="105" t="n"/>
      <c r="BA64" s="101" t="n">
        <v>57.99</v>
      </c>
      <c r="BB64" s="101" t="n">
        <v>57.99</v>
      </c>
      <c r="BC64" s="90">
        <f>IF(AND(ISNUMBER(BA64),ISNUMBER(BB64),N(BA64)&gt;0),1-BB64/BA64,"")</f>
        <v/>
      </c>
      <c r="BD64" s="102" t="n">
        <v>11986</v>
      </c>
      <c r="BE64" s="102" t="n">
        <v>12543</v>
      </c>
      <c r="BF64" s="103">
        <f>IF(AND(ISNUMBER(BD64),ISNUMBER(BE64),N(BE64)&gt;0),BD64/BE64,"")</f>
        <v/>
      </c>
      <c r="BG64" s="100" t="inlineStr">
        <is>
          <t>N</t>
        </is>
      </c>
      <c r="BH64" s="100" t="inlineStr">
        <is>
          <t>Coupon 15% (11-13 to 11-17); List Price $75.00</t>
        </is>
      </c>
    </row>
    <row r="65" ht="62" customHeight="1">
      <c r="A65" s="10">
        <f>_xlfn.IMAGE("https://m.media-amazon.com/images/I/51+SWA0DvhL._AC_SL1500_.jpg")</f>
        <v/>
      </c>
      <c r="B65" s="86" t="inlineStr">
        <is>
          <t>ZIMASILK</t>
        </is>
      </c>
      <c r="C65" s="32" t="inlineStr">
        <is>
          <t>Silk Pillowcase</t>
        </is>
      </c>
      <c r="D65" s="86" t="inlineStr">
        <is>
          <t>Beatable</t>
        </is>
      </c>
      <c r="E65" s="87" t="inlineStr">
        <is>
          <t>B0GXDFM5TS</t>
        </is>
      </c>
      <c r="F65" s="87" t="inlineStr">
        <is>
          <t>B094XT94FC</t>
        </is>
      </c>
      <c r="G65" s="86" t="inlineStr">
        <is>
          <t>Standard 20"x26"</t>
        </is>
      </c>
      <c r="H65" s="86" t="inlineStr">
        <is>
          <t>Ivory</t>
        </is>
      </c>
      <c r="I65" s="88" t="n">
        <v>15</v>
      </c>
      <c r="J65" s="32" t="inlineStr">
        <is>
          <t>B094XT94FC (75%), B094XQM9R3 (23%)</t>
        </is>
      </c>
      <c r="K65" s="89" t="n">
        <v>37.99</v>
      </c>
      <c r="L65" s="89" t="n"/>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44854</v>
      </c>
      <c r="S65" s="88" t="n">
        <v>81</v>
      </c>
      <c r="T65" s="93">
        <f>IF(AND(ISNUMBER(K65),ISNUMBER(S65)),K65*S65*52/12,"")</f>
        <v/>
      </c>
      <c r="U65" s="94" t="n">
        <v>4.5</v>
      </c>
      <c r="V65" s="88" t="n">
        <v>672</v>
      </c>
      <c r="W65" s="95" t="n">
        <v>46307</v>
      </c>
      <c r="X65" s="95" t="n"/>
      <c r="Y65" s="86" t="n"/>
      <c r="Z65" s="86" t="n"/>
      <c r="AA65" s="88" t="n">
        <v>108891</v>
      </c>
      <c r="AB65" s="88" t="n">
        <v>574</v>
      </c>
      <c r="AC65" s="96" t="n">
        <v>0.2928209181658722</v>
      </c>
      <c r="AD65" s="96" t="n">
        <v>0.707179228770055</v>
      </c>
      <c r="AE65" s="32" t="inlineStr">
        <is>
          <t>silk pillow cases</t>
        </is>
      </c>
      <c r="AF65" s="96" t="n">
        <v>0.8487753808854727</v>
      </c>
      <c r="AG65" s="96" t="n">
        <v>0.9211413248110496</v>
      </c>
      <c r="AH65" s="96" t="n">
        <v>0.7371959115078381</v>
      </c>
      <c r="AI65" s="96" t="n">
        <v>0.008549834237907632</v>
      </c>
      <c r="AJ65" s="88" t="n">
        <v>246</v>
      </c>
      <c r="AK65" s="88" t="n">
        <v>28</v>
      </c>
      <c r="AL65" s="88" t="n">
        <v>200</v>
      </c>
      <c r="AM65" s="88" t="n">
        <v>328</v>
      </c>
      <c r="AN65" s="88" t="n">
        <v>222</v>
      </c>
      <c r="AO65" s="88" t="n">
        <v>25</v>
      </c>
      <c r="AP65" s="97" t="n">
        <v>1.234425176621708</v>
      </c>
      <c r="AQ65" s="92" t="n">
        <v>0.2668161434977578</v>
      </c>
      <c r="AR65" s="98" t="inlineStr">
        <is>
          <t>N</t>
        </is>
      </c>
      <c r="AS65" s="98" t="inlineStr">
        <is>
          <t>none</t>
        </is>
      </c>
      <c r="AT65" s="104" t="n"/>
      <c r="AU65" s="99" t="n">
        <v>37.99</v>
      </c>
      <c r="AV65" s="98" t="inlineStr">
        <is>
          <t>none</t>
        </is>
      </c>
      <c r="AW65" s="98" t="inlineStr">
        <is>
          <t>Y</t>
        </is>
      </c>
      <c r="AX65" s="98" t="inlineStr">
        <is>
          <t>2026-10-13 23:47:19</t>
        </is>
      </c>
      <c r="AY65" s="100" t="inlineStr">
        <is>
          <t>Prime Exclusive Discount</t>
        </is>
      </c>
      <c r="AZ65" s="100" t="inlineStr">
        <is>
          <t>11-20 to 12-01</t>
        </is>
      </c>
      <c r="BA65" s="101" t="n">
        <v>36.99</v>
      </c>
      <c r="BB65" s="101" t="n">
        <v>29.22</v>
      </c>
      <c r="BC65" s="90">
        <f>IF(AND(ISNUMBER(BA65),ISNUMBER(BB65),N(BA65)&gt;0),1-BB65/BA65,"")</f>
        <v/>
      </c>
      <c r="BD65" s="102" t="n">
        <v>72445</v>
      </c>
      <c r="BE65" s="102" t="n">
        <v>50860</v>
      </c>
      <c r="BF65" s="103">
        <f>IF(AND(ISNUMBER(BD65),ISNUMBER(BE65),N(BE65)&gt;0),BD65/BE65,"")</f>
        <v/>
      </c>
      <c r="BG65" s="100" t="inlineStr">
        <is>
          <t>N</t>
        </is>
      </c>
      <c r="BH65" s="100" t="inlineStr">
        <is>
          <t>Coupon 10% (12-05 to 12-05); List Price $69.99</t>
        </is>
      </c>
    </row>
    <row r="66" ht="62" customHeight="1">
      <c r="A66" s="10">
        <f>_xlfn.IMAGE("https://m.media-amazon.com/images/I/6183+Piu-cL._AC_SL1500_.jpg")</f>
        <v/>
      </c>
      <c r="B66" s="86" t="inlineStr">
        <is>
          <t>ZIMASILK</t>
        </is>
      </c>
      <c r="C66" s="32" t="inlineStr">
        <is>
          <t>Silk Pillowcase</t>
        </is>
      </c>
      <c r="D66" s="86" t="inlineStr">
        <is>
          <t>Beatable</t>
        </is>
      </c>
      <c r="E66" s="87" t="inlineStr">
        <is>
          <t>B09ZRJBNY5</t>
        </is>
      </c>
      <c r="F66" s="87" t="inlineStr">
        <is>
          <t>B09NVRZBDJ</t>
        </is>
      </c>
      <c r="G66" s="86" t="inlineStr">
        <is>
          <t>Standard 20"x26"</t>
        </is>
      </c>
      <c r="H66" s="86" t="inlineStr">
        <is>
          <t>Grey</t>
        </is>
      </c>
      <c r="I66" s="88" t="n">
        <v>18</v>
      </c>
      <c r="J66" s="32" t="inlineStr">
        <is>
          <t>B09NVRZBDJ (96%)</t>
        </is>
      </c>
      <c r="K66" s="89" t="n">
        <v>23.39</v>
      </c>
      <c r="L66" s="89" t="n">
        <v>24.69</v>
      </c>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62692</v>
      </c>
      <c r="S66" s="88" t="n">
        <v>81</v>
      </c>
      <c r="T66" s="93">
        <f>IF(AND(ISNUMBER(K66),ISNUMBER(S66)),K66*S66*52/12,"")</f>
        <v/>
      </c>
      <c r="U66" s="94" t="n">
        <v>4.5</v>
      </c>
      <c r="V66" s="88" t="n">
        <v>1208</v>
      </c>
      <c r="W66" s="95" t="n">
        <v>46307</v>
      </c>
      <c r="X66" s="95" t="n"/>
      <c r="Y66" s="86" t="n"/>
      <c r="Z66" s="86" t="n"/>
      <c r="AA66" s="88" t="n">
        <v>66424</v>
      </c>
      <c r="AB66" s="88" t="n">
        <v>577</v>
      </c>
      <c r="AC66" s="96" t="n">
        <v>0.920330772010117</v>
      </c>
      <c r="AD66" s="96" t="n">
        <v>0.07966922798988318</v>
      </c>
      <c r="AE66" s="32" t="inlineStr">
        <is>
          <t>silk pillow cases</t>
        </is>
      </c>
      <c r="AF66" s="96" t="n">
        <v>0.8019691677706853</v>
      </c>
      <c r="AG66" s="96" t="n">
        <v>0.03021498253643261</v>
      </c>
      <c r="AH66" s="96" t="n"/>
      <c r="AI66" s="96" t="n"/>
      <c r="AJ66" s="88" t="n">
        <v>239</v>
      </c>
      <c r="AK66" s="88" t="n">
        <v>75</v>
      </c>
      <c r="AL66" s="88" t="n">
        <v>144</v>
      </c>
      <c r="AM66" s="88" t="n">
        <v>338</v>
      </c>
      <c r="AN66" s="88" t="n">
        <v>106</v>
      </c>
      <c r="AO66" s="88" t="n">
        <v>5</v>
      </c>
      <c r="AP66" s="97" t="n">
        <v>0.9147217235188509</v>
      </c>
      <c r="AQ66" s="92" t="n">
        <v>-0.2776250687190764</v>
      </c>
      <c r="AR66" s="98" t="inlineStr">
        <is>
          <t>Y</t>
        </is>
      </c>
      <c r="AS66" s="98" t="inlineStr">
        <is>
          <t>Typical price</t>
        </is>
      </c>
      <c r="AT66" s="99" t="n">
        <v>24.69</v>
      </c>
      <c r="AU66" s="99" t="n">
        <v>23.39</v>
      </c>
      <c r="AV66" s="98" t="inlineStr">
        <is>
          <t>none</t>
        </is>
      </c>
      <c r="AW66" s="98" t="inlineStr">
        <is>
          <t>Y</t>
        </is>
      </c>
      <c r="AX66" s="98" t="inlineStr">
        <is>
          <t>2026-10-13 23:47:22</t>
        </is>
      </c>
      <c r="AY66" s="100" t="inlineStr">
        <is>
          <t>Prime Exclusive Discount</t>
        </is>
      </c>
      <c r="AZ66" s="100" t="inlineStr">
        <is>
          <t>11-20 to 12-01</t>
        </is>
      </c>
      <c r="BA66" s="101" t="n">
        <v>25.29</v>
      </c>
      <c r="BB66" s="101" t="n">
        <v>19.22</v>
      </c>
      <c r="BC66" s="90">
        <f>IF(AND(ISNUMBER(BA66),ISNUMBER(BB66),N(BA66)&gt;0),1-BB66/BA66,"")</f>
        <v/>
      </c>
      <c r="BD66" s="102" t="n">
        <v>58309</v>
      </c>
      <c r="BE66" s="102" t="n">
        <v>50010</v>
      </c>
      <c r="BF66" s="103">
        <f>IF(AND(ISNUMBER(BD66),ISNUMBER(BE66),N(BE66)&gt;0),BD66/BE66,"")</f>
        <v/>
      </c>
      <c r="BG66" s="100" t="inlineStr">
        <is>
          <t>N</t>
        </is>
      </c>
      <c r="BH66" s="100" t="inlineStr">
        <is>
          <t>Coupon 10% (12-03 to 12-05); List Price $25.29</t>
        </is>
      </c>
    </row>
    <row r="67" ht="62" customHeight="1">
      <c r="A67" s="10">
        <f>_xlfn.IMAGE("https://m.media-amazon.com/images/I/71e-Li03I4L._AC_SL1500_.jpg")</f>
        <v/>
      </c>
      <c r="B67" s="86" t="inlineStr">
        <is>
          <t>Colorado Home Co</t>
        </is>
      </c>
      <c r="C67" s="32" t="inlineStr">
        <is>
          <t>Silk Pillowcase</t>
        </is>
      </c>
      <c r="D67" s="86" t="inlineStr">
        <is>
          <t>Beatable</t>
        </is>
      </c>
      <c r="E67" s="87" t="inlineStr">
        <is>
          <t>B0CTCZGGHP</t>
        </is>
      </c>
      <c r="F67" s="87" t="inlineStr">
        <is>
          <t>B081CTM1T8</t>
        </is>
      </c>
      <c r="G67" s="86" t="inlineStr">
        <is>
          <t>1 Pack Queen Pillowcase (20" x 30")</t>
        </is>
      </c>
      <c r="H67" s="86" t="inlineStr">
        <is>
          <t>Off White</t>
        </is>
      </c>
      <c r="I67" s="88" t="n">
        <v>32</v>
      </c>
      <c r="J67" s="32" t="inlineStr">
        <is>
          <t>B081CTM1T8 (84%)</t>
        </is>
      </c>
      <c r="K67" s="89" t="n">
        <v>45.99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55124</v>
      </c>
      <c r="S67" s="88" t="n">
        <v>18</v>
      </c>
      <c r="T67" s="93">
        <f>IF(AND(ISNUMBER(K67),ISNUMBER(S67)),K67*S67*52/12,"")</f>
        <v/>
      </c>
      <c r="U67" s="94" t="n">
        <v>4.6</v>
      </c>
      <c r="V67" s="88" t="n">
        <v>1971</v>
      </c>
      <c r="W67" s="95" t="n">
        <v>46307</v>
      </c>
      <c r="X67" s="95" t="n"/>
      <c r="Y67" s="86" t="n"/>
      <c r="Z67" s="86" t="n"/>
      <c r="AA67" s="88" t="n">
        <v>119892</v>
      </c>
      <c r="AB67" s="88" t="n">
        <v>435</v>
      </c>
      <c r="AC67" s="96" t="n">
        <v>0.4231184574450338</v>
      </c>
      <c r="AD67" s="96" t="n">
        <v>0.576881542554966</v>
      </c>
      <c r="AE67" s="32" t="inlineStr">
        <is>
          <t>silk pillow cases</t>
        </is>
      </c>
      <c r="AF67" s="96" t="n">
        <v>0.9609732092216328</v>
      </c>
      <c r="AG67" s="96" t="n"/>
      <c r="AH67" s="96" t="n"/>
      <c r="AI67" s="96" t="n">
        <v>0.001776598939045141</v>
      </c>
      <c r="AJ67" s="88" t="n">
        <v>230</v>
      </c>
      <c r="AK67" s="88" t="n">
        <v>45</v>
      </c>
      <c r="AL67" s="88" t="n">
        <v>160</v>
      </c>
      <c r="AM67" s="88" t="n">
        <v>205</v>
      </c>
      <c r="AN67" s="88" t="n">
        <v>88</v>
      </c>
      <c r="AO67" s="88" t="n">
        <v>16</v>
      </c>
      <c r="AP67" s="97" t="n"/>
      <c r="AQ67" s="92" t="n"/>
      <c r="AR67" s="98" t="inlineStr">
        <is>
          <t>N</t>
        </is>
      </c>
      <c r="AS67" s="98" t="inlineStr">
        <is>
          <t>none</t>
        </is>
      </c>
      <c r="AT67" s="104" t="n"/>
      <c r="AU67" s="99" t="n">
        <v>45.99</v>
      </c>
      <c r="AV67" s="98" t="inlineStr">
        <is>
          <t>none</t>
        </is>
      </c>
      <c r="AW67" s="98" t="inlineStr">
        <is>
          <t>Y</t>
        </is>
      </c>
      <c r="AX67" s="98" t="inlineStr">
        <is>
          <t>2026-10-13 23:45:17</t>
        </is>
      </c>
      <c r="AY67" s="100" t="inlineStr">
        <is>
          <t>Prime Exclusive Discount</t>
        </is>
      </c>
      <c r="AZ67" s="100" t="inlineStr">
        <is>
          <t>11-26 to 12-01</t>
        </is>
      </c>
      <c r="BA67" s="101" t="n">
        <v>45.59</v>
      </c>
      <c r="BB67" s="101" t="n">
        <v>39.32</v>
      </c>
      <c r="BC67" s="90">
        <f>IF(AND(ISNUMBER(BA67),ISNUMBER(BB67),N(BA67)&gt;0),1-BB67/BA67,"")</f>
        <v/>
      </c>
      <c r="BD67" s="102" t="n">
        <v>42376</v>
      </c>
      <c r="BE67" s="102" t="n">
        <v>36224</v>
      </c>
      <c r="BF67" s="103">
        <f>IF(AND(ISNUMBER(BD67),ISNUMBER(BE67),N(BE67)&gt;0),BD67/BE67,"")</f>
        <v/>
      </c>
      <c r="BG67" s="100" t="inlineStr">
        <is>
          <t>N</t>
        </is>
      </c>
      <c r="BH67" s="100" t="inlineStr">
        <is>
          <t>Buy Box RAISED in BFCM week (median $56.99 vs $45.59 before); List Price $101.99</t>
        </is>
      </c>
    </row>
    <row r="68" ht="62" customHeight="1">
      <c r="A68" s="10">
        <f>_xlfn.IMAGE("https://m.media-amazon.com/images/I/615FbOB3UDL._AC_SL1500_.jpg")</f>
        <v/>
      </c>
      <c r="B68" s="86" t="inlineStr">
        <is>
          <t>Fishers Finery</t>
        </is>
      </c>
      <c r="C68" s="32" t="inlineStr">
        <is>
          <t>Silk Pillowcase</t>
        </is>
      </c>
      <c r="D68" s="86" t="inlineStr">
        <is>
          <t>Beatable</t>
        </is>
      </c>
      <c r="E68" s="87" t="inlineStr">
        <is>
          <t>B01MQIYMW3</t>
        </is>
      </c>
      <c r="F68" s="87" t="inlineStr">
        <is>
          <t>B01M1CKVJU</t>
        </is>
      </c>
      <c r="G68" s="86" t="inlineStr">
        <is>
          <t>King - Set of 1</t>
        </is>
      </c>
      <c r="H68" s="86" t="inlineStr">
        <is>
          <t>Natural White (Undyed)</t>
        </is>
      </c>
      <c r="I68" s="88" t="n">
        <v>20</v>
      </c>
      <c r="J68" s="32" t="inlineStr">
        <is>
          <t>B07VCVFVJM (32%), B0815RTY4S (30%), B01LYQUJWD (26%)</t>
        </is>
      </c>
      <c r="K68" s="89" t="n">
        <v>81.98999999999999</v>
      </c>
      <c r="L68" s="89" t="n"/>
      <c r="M68" s="90">
        <f>IF(AND(ISNUMBER(L68),ISNUMBER(K68),N(K68)&gt;0),L68/K68-1,"")</f>
        <v/>
      </c>
      <c r="N68" s="91">
        <f>IF(M68="","No List Price",IF(M68&lt;=0,"At/below price",IF(M68&lt;=0.12,"&lt;=12% STR zone",IF(M68&lt;=0.25,"12-25%","&gt;25% over"))))</f>
        <v/>
      </c>
      <c r="O68" s="89" t="n">
        <v>50.20344827586207</v>
      </c>
      <c r="P68" s="92">
        <f>IF(AND(ISNUMBER(K68),ISNUMBER(O68),N(O68)&gt;0),K68/O68-1,"")</f>
        <v/>
      </c>
      <c r="Q68" s="32" t="inlineStr">
        <is>
          <t>vs our blended price (Command Center, Mar 2026 - STALE)</t>
        </is>
      </c>
      <c r="R68" s="88" t="n">
        <v>55705</v>
      </c>
      <c r="S68" s="88" t="n">
        <v>18</v>
      </c>
      <c r="T68" s="93">
        <f>IF(AND(ISNUMBER(K68),ISNUMBER(S68)),K68*S68*52/12,"")</f>
        <v/>
      </c>
      <c r="U68" s="94" t="n">
        <v>4.6</v>
      </c>
      <c r="V68" s="88" t="n">
        <v>2700</v>
      </c>
      <c r="W68" s="95" t="n">
        <v>46307</v>
      </c>
      <c r="X68" s="95" t="n"/>
      <c r="Y68" s="86" t="n"/>
      <c r="Z68" s="86" t="n"/>
      <c r="AA68" s="88" t="n">
        <v>102684</v>
      </c>
      <c r="AB68" s="88" t="n">
        <v>787</v>
      </c>
      <c r="AC68" s="96" t="n">
        <v>0.6705437400179186</v>
      </c>
      <c r="AD68" s="96" t="n">
        <v>0.3294562599820809</v>
      </c>
      <c r="AE68" s="32" t="inlineStr">
        <is>
          <t>silk pillow cases</t>
        </is>
      </c>
      <c r="AF68" s="96" t="n">
        <v>0.9397861400023373</v>
      </c>
      <c r="AG68" s="96" t="n">
        <v>0.9988995364418994</v>
      </c>
      <c r="AH68" s="96" t="n"/>
      <c r="AI68" s="96" t="n"/>
      <c r="AJ68" s="88" t="n">
        <v>257</v>
      </c>
      <c r="AK68" s="88" t="n">
        <v>55</v>
      </c>
      <c r="AL68" s="88" t="n">
        <v>178</v>
      </c>
      <c r="AM68" s="88" t="n">
        <v>530</v>
      </c>
      <c r="AN68" s="88" t="n">
        <v>325</v>
      </c>
      <c r="AO68" s="88" t="n">
        <v>26</v>
      </c>
      <c r="AP68" s="97" t="n"/>
      <c r="AQ68" s="92" t="n"/>
      <c r="AR68" s="98" t="inlineStr">
        <is>
          <t>N</t>
        </is>
      </c>
      <c r="AS68" s="98" t="inlineStr">
        <is>
          <t>none</t>
        </is>
      </c>
      <c r="AT68" s="104" t="n"/>
      <c r="AU68" s="99" t="n">
        <v>81.98999999999999</v>
      </c>
      <c r="AV68" s="98" t="inlineStr">
        <is>
          <t>none</t>
        </is>
      </c>
      <c r="AW68" s="98" t="inlineStr">
        <is>
          <t>Y</t>
        </is>
      </c>
      <c r="AX68" s="98" t="inlineStr">
        <is>
          <t>2026-10-13 23:45:33</t>
        </is>
      </c>
      <c r="AY68" s="100" t="inlineStr">
        <is>
          <t>None</t>
        </is>
      </c>
      <c r="AZ68" s="105" t="n"/>
      <c r="BA68" s="101" t="n">
        <v>77.98999999999999</v>
      </c>
      <c r="BB68" s="101" t="n">
        <v>77.98999999999999</v>
      </c>
      <c r="BC68" s="90">
        <f>IF(AND(ISNUMBER(BA68),ISNUMBER(BB68),N(BA68)&gt;0),1-BB68/BA68,"")</f>
        <v/>
      </c>
      <c r="BD68" s="102" t="n">
        <v>70079</v>
      </c>
      <c r="BE68" s="102" t="n">
        <v>68310</v>
      </c>
      <c r="BF68" s="103">
        <f>IF(AND(ISNUMBER(BD68),ISNUMBER(BE68),N(BE68)&gt;0),BD68/BE68,"")</f>
        <v/>
      </c>
      <c r="BG68" s="100" t="inlineStr">
        <is>
          <t>N</t>
        </is>
      </c>
      <c r="BH68" s="100" t="inlineStr">
        <is>
          <t>Coupon 15% (11-13 to 11-17); List Price $101.00</t>
        </is>
      </c>
    </row>
    <row r="69" ht="62" customHeight="1">
      <c r="A69" s="10">
        <f>_xlfn.IMAGE("https://m.media-amazon.com/images/I/61Z9zrJhmmL._AC_SL1295_.jpg")</f>
        <v/>
      </c>
      <c r="B69" s="86" t="inlineStr">
        <is>
          <t>ROSEWARD</t>
        </is>
      </c>
      <c r="C69" s="32" t="inlineStr">
        <is>
          <t>Silk Pillowcase</t>
        </is>
      </c>
      <c r="D69" s="86" t="inlineStr">
        <is>
          <t>Beatable</t>
        </is>
      </c>
      <c r="E69" s="87" t="inlineStr">
        <is>
          <t>B0BXBPNMVW</t>
        </is>
      </c>
      <c r="F69" s="87" t="inlineStr">
        <is>
          <t>B0BXBN7JMP</t>
        </is>
      </c>
      <c r="G69" s="86" t="inlineStr">
        <is>
          <t>Queen</t>
        </is>
      </c>
      <c r="H69" s="86" t="inlineStr">
        <is>
          <t>Blue Grey</t>
        </is>
      </c>
      <c r="I69" s="88" t="n">
        <v>26</v>
      </c>
      <c r="J69" s="32" t="inlineStr">
        <is>
          <t>B0BXBN7JMP (47%), B0BXBN73ZZ (32%), B0BXBNSFKG (5%)</t>
        </is>
      </c>
      <c r="K69" s="89" t="n">
        <v>39.99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Same size (Queen). Ours live: Helium 10 Xray, 2026-10-13; 6 children</t>
        </is>
      </c>
      <c r="R69" s="88" t="n">
        <v>28579</v>
      </c>
      <c r="S69" s="88" t="n">
        <v>18</v>
      </c>
      <c r="T69" s="93">
        <f>IF(AND(ISNUMBER(K69),ISNUMBER(S69)),K69*S69*52/12,"")</f>
        <v/>
      </c>
      <c r="U69" s="94" t="n">
        <v>4.4</v>
      </c>
      <c r="V69" s="88" t="n">
        <v>1035</v>
      </c>
      <c r="W69" s="95" t="n">
        <v>46307</v>
      </c>
      <c r="X69" s="95" t="n"/>
      <c r="Y69" s="86" t="n"/>
      <c r="Z69" s="86" t="n"/>
      <c r="AA69" s="88" t="n">
        <v>58241</v>
      </c>
      <c r="AB69" s="88" t="n">
        <v>388</v>
      </c>
      <c r="AC69" s="96" t="n">
        <v>0.3698189849075394</v>
      </c>
      <c r="AD69" s="96" t="n">
        <v>0.6301810150924604</v>
      </c>
      <c r="AE69" s="32" t="inlineStr">
        <is>
          <t>blissy silk pillow cases</t>
        </is>
      </c>
      <c r="AF69" s="96" t="n">
        <v>0.9105441184045604</v>
      </c>
      <c r="AG69" s="96" t="n">
        <v>0.5094692742226267</v>
      </c>
      <c r="AH69" s="96" t="n"/>
      <c r="AI69" s="96" t="n"/>
      <c r="AJ69" s="88" t="n">
        <v>230</v>
      </c>
      <c r="AK69" s="88" t="n">
        <v>71</v>
      </c>
      <c r="AL69" s="88" t="n">
        <v>128</v>
      </c>
      <c r="AM69" s="88" t="n">
        <v>158</v>
      </c>
      <c r="AN69" s="88" t="n">
        <v>100</v>
      </c>
      <c r="AO69" s="88" t="n">
        <v>23</v>
      </c>
      <c r="AP69" s="97" t="n">
        <v>1.153762268266085</v>
      </c>
      <c r="AQ69" s="92" t="n">
        <v>0.1086956521739131</v>
      </c>
      <c r="AR69" s="98" t="inlineStr">
        <is>
          <t>N</t>
        </is>
      </c>
      <c r="AS69" s="98" t="inlineStr">
        <is>
          <t>none</t>
        </is>
      </c>
      <c r="AT69" s="104" t="n"/>
      <c r="AU69" s="99" t="n">
        <v>39.99</v>
      </c>
      <c r="AV69" s="98" t="inlineStr">
        <is>
          <t>none</t>
        </is>
      </c>
      <c r="AW69" s="98" t="inlineStr">
        <is>
          <t>Y</t>
        </is>
      </c>
      <c r="AX69" s="98" t="inlineStr">
        <is>
          <t>2026-10-13 23:46:35</t>
        </is>
      </c>
      <c r="AY69" s="100" t="inlineStr">
        <is>
          <t>Prime Exclusive Discount</t>
        </is>
      </c>
      <c r="AZ69" s="100" t="inlineStr">
        <is>
          <t>11-22 to 12-01</t>
        </is>
      </c>
      <c r="BA69" s="101" t="n">
        <v>39.99</v>
      </c>
      <c r="BB69" s="101" t="n">
        <v>31.99</v>
      </c>
      <c r="BC69" s="90">
        <f>IF(AND(ISNUMBER(BA69),ISNUMBER(BB69),N(BA69)&gt;0),1-BB69/BA69,"")</f>
        <v/>
      </c>
      <c r="BD69" s="102" t="n">
        <v>20766</v>
      </c>
      <c r="BE69" s="102" t="n">
        <v>17096</v>
      </c>
      <c r="BF69" s="103">
        <f>IF(AND(ISNUMBER(BD69),ISNUMBER(BE69),N(BE69)&gt;0),BD69/BE69,"")</f>
        <v/>
      </c>
      <c r="BG69" s="100" t="inlineStr">
        <is>
          <t>N</t>
        </is>
      </c>
      <c r="BH69" s="100" t="inlineStr">
        <is>
          <t>List Price $45.99</t>
        </is>
      </c>
    </row>
    <row r="70" ht="62" customHeight="1">
      <c r="A70" s="38" t="inlineStr">
        <is>
          <t>COMING SOON</t>
        </is>
      </c>
      <c r="B70" s="86" t="inlineStr">
        <is>
          <t>RENESSY</t>
        </is>
      </c>
      <c r="C70" s="32" t="inlineStr">
        <is>
          <t>Silk Pillowcase</t>
        </is>
      </c>
      <c r="D70" s="86" t="inlineStr">
        <is>
          <t>Beatable</t>
        </is>
      </c>
      <c r="E70" s="87" t="inlineStr">
        <is>
          <t>B09G8P3X6L</t>
        </is>
      </c>
      <c r="F70" s="87" t="inlineStr">
        <is>
          <t>B09G8P3X6L</t>
        </is>
      </c>
      <c r="G70" s="86" t="n"/>
      <c r="H70" s="86" t="n"/>
      <c r="I70" s="88" t="n">
        <v>0</v>
      </c>
      <c r="J70" s="32" t="inlineStr"/>
      <c r="K70" s="89" t="n">
        <v>49.9</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61645</v>
      </c>
      <c r="S70" s="88" t="n"/>
      <c r="T70" s="93">
        <f>IF(AND(ISNUMBER(K70),ISNUMBER(S70)),K70*S70*52/12,"")</f>
        <v/>
      </c>
      <c r="U70" s="94" t="n">
        <v>4.6</v>
      </c>
      <c r="V70" s="88" t="n">
        <v>2510</v>
      </c>
      <c r="W70" s="95" t="n">
        <v>46307</v>
      </c>
      <c r="X70" s="95" t="n"/>
      <c r="Y70" s="86" t="n"/>
      <c r="Z70" s="86" t="n"/>
      <c r="AA70" s="88" t="n">
        <v>0</v>
      </c>
      <c r="AB70" s="88" t="n">
        <v>83</v>
      </c>
      <c r="AC70" s="96" t="n"/>
      <c r="AD70" s="96" t="n"/>
      <c r="AE70" s="32" t="inlineStr">
        <is>
          <t>blissy</t>
        </is>
      </c>
      <c r="AF70" s="96" t="n"/>
      <c r="AG70" s="96" t="n"/>
      <c r="AH70" s="96" t="n"/>
      <c r="AI70" s="96" t="n"/>
      <c r="AJ70" s="88" t="n">
        <v>71</v>
      </c>
      <c r="AK70" s="88" t="n">
        <v>59</v>
      </c>
      <c r="AL70" s="88" t="n">
        <v>0</v>
      </c>
      <c r="AM70" s="88" t="n">
        <v>12</v>
      </c>
      <c r="AN70" s="88" t="n">
        <v>0</v>
      </c>
      <c r="AO70" s="88" t="n">
        <v>0</v>
      </c>
      <c r="AP70" s="97" t="n"/>
      <c r="AQ70" s="92" t="n"/>
      <c r="AR70" s="98" t="inlineStr">
        <is>
          <t>unknown</t>
        </is>
      </c>
      <c r="AS70" s="105" t="n"/>
      <c r="AT70" s="104" t="n"/>
      <c r="AU70" s="104" t="n"/>
      <c r="AV70" s="105" t="n"/>
      <c r="AW70" s="105" t="n"/>
      <c r="AX70" s="98" t="inlineStr">
        <is>
          <t>2026-10-13 23:46:32</t>
        </is>
      </c>
      <c r="AY70" s="100" t="inlineStr">
        <is>
          <t>Price cut only</t>
        </is>
      </c>
      <c r="AZ70" s="100" t="inlineStr">
        <is>
          <t>11-20 to 12-01</t>
        </is>
      </c>
      <c r="BA70" s="101" t="n">
        <v>49.99</v>
      </c>
      <c r="BB70" s="101" t="n">
        <v>42.49</v>
      </c>
      <c r="BC70" s="90">
        <f>IF(AND(ISNUMBER(BA70),ISNUMBER(BB70),N(BA70)&gt;0),1-BB70/BA70,"")</f>
        <v/>
      </c>
      <c r="BD70" s="102" t="n">
        <v>67209</v>
      </c>
      <c r="BE70" s="102" t="n">
        <v>28082</v>
      </c>
      <c r="BF70" s="103">
        <f>IF(AND(ISNUMBER(BD70),ISNUMBER(BE70),N(BE70)&gt;0),BD70/BE70,"")</f>
        <v/>
      </c>
      <c r="BG70" s="100" t="inlineStr">
        <is>
          <t>N</t>
        </is>
      </c>
      <c r="BH70" s="100" t="inlineStr">
        <is>
          <t>Lightning Deal 11-03 to 11-03; List Price $49.99</t>
        </is>
      </c>
    </row>
    <row r="71" ht="62" customHeight="1">
      <c r="A71" s="10">
        <f>_xlfn.IMAGE("https://m.media-amazon.com/images/I/71reso2eR9L._AC_SL1500_.jpg")</f>
        <v/>
      </c>
      <c r="B71" s="86" t="inlineStr">
        <is>
          <t>Brooklinen</t>
        </is>
      </c>
      <c r="C71" s="32" t="inlineStr">
        <is>
          <t>Silk Pillowcase</t>
        </is>
      </c>
      <c r="D71" s="86" t="inlineStr">
        <is>
          <t>Poor</t>
        </is>
      </c>
      <c r="E71" s="87" t="inlineStr">
        <is>
          <t>B0DVCCDL65</t>
        </is>
      </c>
      <c r="F71" s="87" t="inlineStr">
        <is>
          <t>B09NP72NNZ</t>
        </is>
      </c>
      <c r="G71" s="86" t="n"/>
      <c r="H71" s="86" t="n"/>
      <c r="I71" s="88" t="n"/>
      <c r="J71" s="32" t="inlineStr"/>
      <c r="K71" s="89" t="n">
        <v>74</v>
      </c>
      <c r="L71" s="89" t="n"/>
      <c r="M71" s="90">
        <f>IF(AND(ISNUMBER(L71),ISNUMBER(K71),N(K71)&gt;0),L71/K71-1,"")</f>
        <v/>
      </c>
      <c r="N71" s="91">
        <f>IF(M71="","No List Price",IF(M71&lt;=0,"At/below price",IF(M71&lt;=0.12,"&lt;=12% STR zone",IF(M71&lt;=0.25,"12-25%","&gt;25% over"))))</f>
        <v/>
      </c>
      <c r="O71" s="89" t="n">
        <v>49.95</v>
      </c>
      <c r="P71" s="92">
        <f>IF(AND(ISNUMBER(K71),ISNUMBER(O71),N(O71)&gt;0),K71/O71-1,"")</f>
        <v/>
      </c>
      <c r="Q71" s="32" t="inlineStr">
        <is>
          <t>Size not stated - vs our Queen. Ours live: Helium 10 Xray, 2026-10-13; 6 children</t>
        </is>
      </c>
      <c r="R71" s="88" t="n">
        <v>350123</v>
      </c>
      <c r="S71" s="88" t="n">
        <v>5</v>
      </c>
      <c r="T71" s="93">
        <f>IF(AND(ISNUMBER(K71),ISNUMBER(S71)),K71*S71*52/12,"")</f>
        <v/>
      </c>
      <c r="U71" s="94" t="n">
        <v>4.4</v>
      </c>
      <c r="V71" s="88" t="n">
        <v>147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74</v>
      </c>
      <c r="AV71" s="98" t="inlineStr">
        <is>
          <t>none</t>
        </is>
      </c>
      <c r="AW71" s="98" t="inlineStr">
        <is>
          <t>Y</t>
        </is>
      </c>
      <c r="AX71" s="98" t="inlineStr">
        <is>
          <t>2026-10-13 23:45:11</t>
        </is>
      </c>
      <c r="AY71" s="100" t="inlineStr">
        <is>
          <t>None</t>
        </is>
      </c>
      <c r="AZ71" s="105" t="n"/>
      <c r="BA71" s="101" t="n">
        <v>69</v>
      </c>
      <c r="BB71" s="101" t="n">
        <v>69</v>
      </c>
      <c r="BC71" s="90">
        <f>IF(AND(ISNUMBER(BA71),ISNUMBER(BB71),N(BA71)&gt;0),1-BB71/BA71,"")</f>
        <v/>
      </c>
      <c r="BD71" s="102" t="n">
        <v>151763</v>
      </c>
      <c r="BE71" s="102" t="n">
        <v>105499</v>
      </c>
      <c r="BF71" s="103">
        <f>IF(AND(ISNUMBER(BD71),ISNUMBER(BE71),N(BE71)&gt;0),BD71/BE71,"")</f>
        <v/>
      </c>
      <c r="BG71" s="100" t="inlineStr">
        <is>
          <t>N</t>
        </is>
      </c>
      <c r="BH71" s="100" t="inlineStr">
        <is>
          <t>List Price $69.00</t>
        </is>
      </c>
    </row>
    <row r="72" ht="62" customHeight="1">
      <c r="A72" s="10">
        <f>_xlfn.IMAGE("https://m.media-amazon.com/images/I/614vZw1DOtL._AC_SL1500_.jpg")</f>
        <v/>
      </c>
      <c r="B72" s="86" t="inlineStr">
        <is>
          <t>Gabire</t>
        </is>
      </c>
      <c r="C72" s="32" t="inlineStr">
        <is>
          <t>Silk Pillow Cases</t>
        </is>
      </c>
      <c r="D72" s="86" t="inlineStr">
        <is>
          <t>Untiered</t>
        </is>
      </c>
      <c r="E72" s="87" t="inlineStr">
        <is>
          <t>B0CKPNR7DW</t>
        </is>
      </c>
      <c r="F72" s="87" t="inlineStr">
        <is>
          <t>B0CKPKG71N</t>
        </is>
      </c>
      <c r="G72" s="86" t="inlineStr">
        <is>
          <t>Standard (20"×26")</t>
        </is>
      </c>
      <c r="H72" s="86" t="inlineStr">
        <is>
          <t>4. Black (2 Pack)</t>
        </is>
      </c>
      <c r="I72" s="88" t="n"/>
      <c r="J72" s="32" t="inlineStr"/>
      <c r="K72" s="89" t="n">
        <v>19.99</v>
      </c>
      <c r="L72" s="89" t="n"/>
      <c r="M72" s="90">
        <f>IF(AND(ISNUMBER(L72),ISNUMBER(K72),N(K72)&gt;0),L72/K72-1,"")</f>
        <v/>
      </c>
      <c r="N72" s="91">
        <f>IF(M72="","No List Price",IF(M72&lt;=0,"At/below price",IF(M72&lt;=0.12,"&lt;=12% STR zone",IF(M72&lt;=0.25,"12-25%","&gt;25% over"))))</f>
        <v/>
      </c>
      <c r="O72" s="89" t="n">
        <v>50.20344827586207</v>
      </c>
      <c r="P72" s="92">
        <f>IF(AND(ISNUMBER(K72),ISNUMBER(O72),N(O72)&gt;0),K72/O72-1,"")</f>
        <v/>
      </c>
      <c r="Q72" s="32" t="inlineStr">
        <is>
          <t>vs our blended price (Command Center, Mar 2026 - STALE)</t>
        </is>
      </c>
      <c r="R72" s="88" t="n">
        <v>357</v>
      </c>
      <c r="S72" s="88" t="n">
        <v>1732</v>
      </c>
      <c r="T72" s="93">
        <f>IF(AND(ISNUMBER(K72),ISNUMBER(S72)),K72*S72*52/12,"")</f>
        <v/>
      </c>
      <c r="U72" s="94" t="n">
        <v>4.6</v>
      </c>
      <c r="V72" s="88" t="n">
        <v>3189</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19.99</v>
      </c>
      <c r="AV72" s="98" t="inlineStr">
        <is>
          <t>none</t>
        </is>
      </c>
      <c r="AW72" s="98" t="inlineStr">
        <is>
          <t>Y</t>
        </is>
      </c>
      <c r="AX72" s="98" t="inlineStr">
        <is>
          <t>2026-10-13 23:45:36</t>
        </is>
      </c>
      <c r="AY72" s="100" t="inlineStr">
        <is>
          <t>Prime Exclusive Discount</t>
        </is>
      </c>
      <c r="AZ72" s="100" t="inlineStr">
        <is>
          <t>11-20 to 12-01</t>
        </is>
      </c>
      <c r="BA72" s="101" t="n">
        <v>18.99</v>
      </c>
      <c r="BB72" s="101" t="n">
        <v>15.99</v>
      </c>
      <c r="BC72" s="90">
        <f>IF(AND(ISNUMBER(BA72),ISNUMBER(BB72),N(BA72)&gt;0),1-BB72/BA72,"")</f>
        <v/>
      </c>
      <c r="BD72" s="102" t="n">
        <v>2861</v>
      </c>
      <c r="BE72" s="102" t="n">
        <v>1987</v>
      </c>
      <c r="BF72" s="103">
        <f>IF(AND(ISNUMBER(BD72),ISNUMBER(BE72),N(BE72)&gt;0),BD72/BE72,"")</f>
        <v/>
      </c>
      <c r="BG72" s="100" t="inlineStr">
        <is>
          <t>N</t>
        </is>
      </c>
      <c r="BH72" s="100" t="inlineStr">
        <is>
          <t>Buy Box RAISED in BFCM week (median $19.99 vs $18.99 before); List Price $29.99</t>
        </is>
      </c>
    </row>
    <row r="73" ht="62" customHeight="1">
      <c r="A73" s="10">
        <f>_xlfn.IMAGE("https://images-na.ssl-images-amazon.com/images/I/61OwDvEP02L.jpg")</f>
        <v/>
      </c>
      <c r="B73" s="86" t="inlineStr">
        <is>
          <t>INFIIXSO</t>
        </is>
      </c>
      <c r="C73" s="32" t="inlineStr">
        <is>
          <t>INFIIXSO Mulberry Silk Pillowcase for Hair and Skin, Silk Pillow Cases Standard Size with Hidden Zipper 20x26 Inches, Ultra Smooth and Soft Cooling Pillow Cases for Hot Sleepers(Light Grey, 1 Pack)</t>
        </is>
      </c>
      <c r="D73" s="86" t="inlineStr">
        <is>
          <t>Untiered</t>
        </is>
      </c>
      <c r="E73" s="87" t="inlineStr">
        <is>
          <t>B0DK5G1ZJP</t>
        </is>
      </c>
      <c r="F73" s="87" t="inlineStr">
        <is>
          <t>B0CGLG8CDW</t>
        </is>
      </c>
      <c r="G73" s="86" t="inlineStr">
        <is>
          <t>Standard</t>
        </is>
      </c>
      <c r="H73" s="86" t="inlineStr">
        <is>
          <t>Light Grey</t>
        </is>
      </c>
      <c r="I73" s="88" t="n">
        <v>187</v>
      </c>
      <c r="J73" s="32" t="inlineStr"/>
      <c r="K73" s="89" t="n">
        <v>7.99</v>
      </c>
      <c r="L73" s="89" t="n"/>
      <c r="M73" s="90">
        <f>IF(AND(ISNUMBER(L73),ISNUMBER(K73),N(K73)&gt;0),L73/K73-1,"")</f>
        <v/>
      </c>
      <c r="N73" s="91">
        <f>IF(M73="","No List Price",IF(M73&lt;=0,"At/below price",IF(M73&lt;=0.12,"&lt;=12% STR zone",IF(M73&lt;=0.25,"12-25%","&gt;25% over"))))</f>
        <v/>
      </c>
      <c r="O73" s="89" t="n">
        <v>44.95</v>
      </c>
      <c r="P73" s="92">
        <f>IF(AND(ISNUMBER(K73),ISNUMBER(O73),N(O73)&gt;0),K73/O73-1,"")</f>
        <v/>
      </c>
      <c r="Q73" s="32" t="inlineStr">
        <is>
          <t>Same size (Standard). Ours live: Helium 10 Xray, 2026-10-13; 6 children</t>
        </is>
      </c>
      <c r="R73" s="88" t="n">
        <v>429</v>
      </c>
      <c r="S73" s="88" t="n">
        <v>1732</v>
      </c>
      <c r="T73" s="93">
        <f>IF(AND(ISNUMBER(K73),ISNUMBER(S73)),K73*S73*52/12,"")</f>
        <v/>
      </c>
      <c r="U73" s="94" t="n">
        <v>4.5</v>
      </c>
      <c r="V73" s="88" t="n">
        <v>6271</v>
      </c>
      <c r="W73" s="95" t="n">
        <v>46307</v>
      </c>
      <c r="X73" s="95" t="n">
        <v>45163</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Y</t>
        </is>
      </c>
      <c r="AS73" s="98" t="inlineStr">
        <is>
          <t>List Price</t>
        </is>
      </c>
      <c r="AT73" s="99" t="n">
        <v>9.789999999999999</v>
      </c>
      <c r="AU73" s="99" t="n">
        <v>7.99</v>
      </c>
      <c r="AV73" s="98" t="inlineStr">
        <is>
          <t>none</t>
        </is>
      </c>
      <c r="AW73" s="98" t="inlineStr">
        <is>
          <t>Y</t>
        </is>
      </c>
      <c r="AX73" s="98" t="inlineStr">
        <is>
          <t>2026-10-13 23:45:42</t>
        </is>
      </c>
      <c r="AY73" s="100" t="inlineStr">
        <is>
          <t>Price cut only</t>
        </is>
      </c>
      <c r="AZ73" s="100" t="inlineStr">
        <is>
          <t>11-20 to 12-01</t>
        </is>
      </c>
      <c r="BA73" s="101" t="n">
        <v>7.99</v>
      </c>
      <c r="BB73" s="101" t="n">
        <v>5.59</v>
      </c>
      <c r="BC73" s="90">
        <f>IF(AND(ISNUMBER(BA73),ISNUMBER(BB73),N(BA73)&gt;0),1-BB73/BA73,"")</f>
        <v/>
      </c>
      <c r="BD73" s="102" t="n">
        <v>1538</v>
      </c>
      <c r="BE73" s="102" t="n">
        <v>516</v>
      </c>
      <c r="BF73" s="103">
        <f>IF(AND(ISNUMBER(BD73),ISNUMBER(BE73),N(BE73)&gt;0),BD73/BE73,"")</f>
        <v/>
      </c>
      <c r="BG73" s="100" t="inlineStr">
        <is>
          <t>N</t>
        </is>
      </c>
      <c r="BH73" s="100" t="inlineStr">
        <is>
          <t>Prime Exclusive 11-01 to 12-05; Lightning Deal 11-03 to 11-10; Prime Exclusive already running before BFCM week; List Price $9.79</t>
        </is>
      </c>
    </row>
    <row r="74" ht="62" customHeight="1">
      <c r="A74" s="10">
        <f>_xlfn.IMAGE("https://m.media-amazon.com/images/I/71ycMPIP54L._AC_SL1500_.jpg")</f>
        <v/>
      </c>
      <c r="B74" s="86" t="inlineStr">
        <is>
          <t>DKBslik</t>
        </is>
      </c>
      <c r="C74" s="32" t="inlineStr">
        <is>
          <t>Silk Pillowcase</t>
        </is>
      </c>
      <c r="D74" s="86" t="inlineStr">
        <is>
          <t>Untiered</t>
        </is>
      </c>
      <c r="E74" s="87" t="inlineStr">
        <is>
          <t>B0B5WGXZTH</t>
        </is>
      </c>
      <c r="F74" s="87" t="inlineStr">
        <is>
          <t>B0B8DXN3K2</t>
        </is>
      </c>
      <c r="G74" s="86" t="inlineStr">
        <is>
          <t>Standard - 20×26 Inch</t>
        </is>
      </c>
      <c r="H74" s="86" t="inlineStr">
        <is>
          <t>Ash Blue-1pc</t>
        </is>
      </c>
      <c r="I74" s="88" t="n"/>
      <c r="J74" s="32" t="inlineStr"/>
      <c r="K74" s="89" t="n">
        <v>7.34</v>
      </c>
      <c r="L74" s="89" t="n"/>
      <c r="M74" s="90">
        <f>IF(AND(ISNUMBER(L74),ISNUMBER(K74),N(K74)&gt;0),L74/K74-1,"")</f>
        <v/>
      </c>
      <c r="N74" s="91">
        <f>IF(M74="","No List Price",IF(M74&lt;=0,"At/below price",IF(M74&lt;=0.12,"&lt;=12% STR zone",IF(M74&lt;=0.25,"12-25%","&gt;25% over"))))</f>
        <v/>
      </c>
      <c r="O74" s="89" t="n">
        <v>50.20344827586207</v>
      </c>
      <c r="P74" s="92">
        <f>IF(AND(ISNUMBER(K74),ISNUMBER(O74),N(O74)&gt;0),K74/O74-1,"")</f>
        <v/>
      </c>
      <c r="Q74" s="32" t="inlineStr">
        <is>
          <t>vs our blended price (Command Center, Mar 2026 - STALE)</t>
        </is>
      </c>
      <c r="R74" s="88" t="n">
        <v>198</v>
      </c>
      <c r="S74" s="88" t="n">
        <v>1040</v>
      </c>
      <c r="T74" s="93">
        <f>IF(AND(ISNUMBER(K74),ISNUMBER(S74)),K74*S74*52/12,"")</f>
        <v/>
      </c>
      <c r="U74" s="94" t="n">
        <v>4.5</v>
      </c>
      <c r="V74" s="88" t="n">
        <v>21803</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11.95</v>
      </c>
      <c r="AV74" s="98" t="inlineStr">
        <is>
          <t>none</t>
        </is>
      </c>
      <c r="AW74" s="98" t="inlineStr">
        <is>
          <t>Y</t>
        </is>
      </c>
      <c r="AX74" s="98" t="inlineStr">
        <is>
          <t>2026-10-13 23:45:20</t>
        </is>
      </c>
      <c r="AY74" s="100" t="inlineStr">
        <is>
          <t>Prime Exclusive Discount</t>
        </is>
      </c>
      <c r="AZ74" s="100" t="inlineStr">
        <is>
          <t>11-21 to 12-01</t>
        </is>
      </c>
      <c r="BA74" s="101" t="n">
        <v>8.359999999999999</v>
      </c>
      <c r="BB74" s="101" t="n">
        <v>7.89</v>
      </c>
      <c r="BC74" s="90">
        <f>IF(AND(ISNUMBER(BA74),ISNUMBER(BB74),N(BA74)&gt;0),1-BB74/BA74,"")</f>
        <v/>
      </c>
      <c r="BD74" s="102" t="n">
        <v>102</v>
      </c>
      <c r="BE74" s="102" t="n">
        <v>78</v>
      </c>
      <c r="BF74" s="103">
        <f>IF(AND(ISNUMBER(BD74),ISNUMBER(BE74),N(BE74)&gt;0),BD74/BE74,"")</f>
        <v/>
      </c>
      <c r="BG74" s="100" t="inlineStr">
        <is>
          <t>N</t>
        </is>
      </c>
      <c r="BH74" s="100" t="inlineStr">
        <is>
          <t>Buy Box RAISED in BFCM week (median $11.95 vs $8.36 before); List Price $18.99</t>
        </is>
      </c>
    </row>
    <row r="75" ht="62" customHeight="1">
      <c r="A75" s="10">
        <f>_xlfn.IMAGE("https://images-na.ssl-images-amazon.com/images/I/61aMeMjNdnL.jpg")</f>
        <v/>
      </c>
      <c r="B75" s="86" t="inlineStr">
        <is>
          <t>Suatien</t>
        </is>
      </c>
      <c r="C75" s="32" t="inlineStr">
        <is>
          <t>Mulberry Silk Pillowcase for Hair and Skin Standard Size 20"X 26" Pillow Case with Hidden Zipper Soft Breathable Smooth Cooling Silk Pillow Covers for Sleeping (Haze Blue,Standard,1Pcs)</t>
        </is>
      </c>
      <c r="D75" s="86" t="inlineStr">
        <is>
          <t>Untiered</t>
        </is>
      </c>
      <c r="E75" s="87" t="inlineStr">
        <is>
          <t>B09HZYQK2C</t>
        </is>
      </c>
      <c r="F75" s="87" t="inlineStr">
        <is>
          <t>B09BFQG17F</t>
        </is>
      </c>
      <c r="G75" s="86" t="inlineStr">
        <is>
          <t>Standard</t>
        </is>
      </c>
      <c r="H75" s="86" t="inlineStr">
        <is>
          <t>Haze Blue</t>
        </is>
      </c>
      <c r="I75" s="88" t="n">
        <v>143</v>
      </c>
      <c r="J75" s="32" t="inlineStr"/>
      <c r="K75" s="89" t="n">
        <v>11.99</v>
      </c>
      <c r="L75" s="89" t="n"/>
      <c r="M75" s="90">
        <f>IF(AND(ISNUMBER(L75),ISNUMBER(K75),N(K75)&gt;0),L75/K75-1,"")</f>
        <v/>
      </c>
      <c r="N75" s="91">
        <f>IF(M75="","No List Price",IF(M75&lt;=0,"At/below price",IF(M75&lt;=0.12,"&lt;=12% STR zone",IF(M75&lt;=0.25,"12-25%","&gt;25% over"))))</f>
        <v/>
      </c>
      <c r="O75" s="89" t="n">
        <v>44.95</v>
      </c>
      <c r="P75" s="92">
        <f>IF(AND(ISNUMBER(K75),ISNUMBER(O75),N(O75)&gt;0),K75/O75-1,"")</f>
        <v/>
      </c>
      <c r="Q75" s="32" t="inlineStr">
        <is>
          <t>Same size (Standard). Ours live: Helium 10 Xray, 2026-10-13; 6 children</t>
        </is>
      </c>
      <c r="R75" s="88" t="n">
        <v>499</v>
      </c>
      <c r="S75" s="88" t="n">
        <v>924</v>
      </c>
      <c r="T75" s="93">
        <f>IF(AND(ISNUMBER(K75),ISNUMBER(S75)),K75*S75*52/12,"")</f>
        <v/>
      </c>
      <c r="U75" s="94" t="n">
        <v>4.5</v>
      </c>
      <c r="V75" s="88" t="n">
        <v>41661</v>
      </c>
      <c r="W75" s="95" t="n">
        <v>46307</v>
      </c>
      <c r="X75" s="95" t="n">
        <v>44409</v>
      </c>
      <c r="Y75" s="86" t="inlineStr">
        <is>
          <t>FBA</t>
        </is>
      </c>
      <c r="Z75" s="86" t="inlineStr">
        <is>
          <t>CN</t>
        </is>
      </c>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11.99</v>
      </c>
      <c r="AV75" s="98" t="inlineStr">
        <is>
          <t>none</t>
        </is>
      </c>
      <c r="AW75" s="98" t="inlineStr">
        <is>
          <t>Y</t>
        </is>
      </c>
      <c r="AX75" s="98" t="inlineStr">
        <is>
          <t>2026-10-13 23:46:57</t>
        </is>
      </c>
      <c r="AY75" s="100" t="inlineStr">
        <is>
          <t>Prime Exclusive Discount</t>
        </is>
      </c>
      <c r="AZ75" s="100" t="inlineStr">
        <is>
          <t>11-20 to 12-01</t>
        </is>
      </c>
      <c r="BA75" s="101" t="n">
        <v>11.99</v>
      </c>
      <c r="BB75" s="101" t="n">
        <v>7.91</v>
      </c>
      <c r="BC75" s="90">
        <f>IF(AND(ISNUMBER(BA75),ISNUMBER(BB75),N(BA75)&gt;0),1-BB75/BA75,"")</f>
        <v/>
      </c>
      <c r="BD75" s="102" t="n">
        <v>69</v>
      </c>
      <c r="BE75" s="102" t="n">
        <v>169</v>
      </c>
      <c r="BF75" s="103">
        <f>IF(AND(ISNUMBER(BD75),ISNUMBER(BE75),N(BE75)&gt;0),BD75/BE75,"")</f>
        <v/>
      </c>
      <c r="BG75" s="100" t="inlineStr">
        <is>
          <t>N</t>
        </is>
      </c>
      <c r="BH75" s="100" t="inlineStr">
        <is>
          <t>Lightning Deal 11-14 to 11-14; List Price $11.99</t>
        </is>
      </c>
    </row>
    <row r="76" ht="62" customHeight="1">
      <c r="A76" s="10">
        <f>_xlfn.IMAGE("https://m.media-amazon.com/images/I/51cjk283LDL._AC_SL1000_.jpg")</f>
        <v/>
      </c>
      <c r="B76" s="86" t="inlineStr">
        <is>
          <t>BLISSFORD</t>
        </is>
      </c>
      <c r="C76" s="32" t="inlineStr">
        <is>
          <t>Silk Pillowcase</t>
        </is>
      </c>
      <c r="D76" s="86" t="inlineStr">
        <is>
          <t>Untiered</t>
        </is>
      </c>
      <c r="E76" s="87" t="inlineStr">
        <is>
          <t>B0FXBTQ86V</t>
        </is>
      </c>
      <c r="F76" s="87" t="inlineStr">
        <is>
          <t>B01N0Z6HVO</t>
        </is>
      </c>
      <c r="G76" s="86" t="inlineStr">
        <is>
          <t>Standard (2-pack)</t>
        </is>
      </c>
      <c r="H76" s="86" t="inlineStr">
        <is>
          <t>Brown</t>
        </is>
      </c>
      <c r="I76" s="88" t="n"/>
      <c r="J76" s="32" t="inlineStr"/>
      <c r="K76" s="89" t="n">
        <v>13.99</v>
      </c>
      <c r="L76" s="89" t="n"/>
      <c r="M76" s="90">
        <f>IF(AND(ISNUMBER(L76),ISNUMBER(K76),N(K76)&gt;0),L76/K76-1,"")</f>
        <v/>
      </c>
      <c r="N76" s="91">
        <f>IF(M76="","No List Price",IF(M76&lt;=0,"At/below price",IF(M76&lt;=0.12,"&lt;=12% STR zone",IF(M76&lt;=0.25,"12-25%","&gt;25% over"))))</f>
        <v/>
      </c>
      <c r="O76" s="89" t="n">
        <v>50.20344827586207</v>
      </c>
      <c r="P76" s="92">
        <f>IF(AND(ISNUMBER(K76),ISNUMBER(O76),N(O76)&gt;0),K76/O76-1,"")</f>
        <v/>
      </c>
      <c r="Q76" s="32" t="inlineStr">
        <is>
          <t>vs our blended price (Command Center, Mar 2026 - STALE)</t>
        </is>
      </c>
      <c r="R76" s="88" t="n">
        <v>2452</v>
      </c>
      <c r="S76" s="88" t="n">
        <v>220</v>
      </c>
      <c r="T76" s="93">
        <f>IF(AND(ISNUMBER(K76),ISNUMBER(S76)),K76*S76*52/12,"")</f>
        <v/>
      </c>
      <c r="U76" s="94" t="n">
        <v>4.6</v>
      </c>
      <c r="V76" s="88" t="n">
        <v>55029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13.99</v>
      </c>
      <c r="AV76" s="98" t="inlineStr">
        <is>
          <t>none</t>
        </is>
      </c>
      <c r="AW76" s="98" t="inlineStr">
        <is>
          <t>Y</t>
        </is>
      </c>
      <c r="AX76" s="98" t="inlineStr">
        <is>
          <t>2026-10-13 23:44:55</t>
        </is>
      </c>
      <c r="AY76" s="100" t="inlineStr">
        <is>
          <t>None</t>
        </is>
      </c>
      <c r="AZ76" s="105" t="n"/>
      <c r="BA76" s="101" t="n">
        <v>11.99</v>
      </c>
      <c r="BB76" s="101" t="n">
        <v>11.99</v>
      </c>
      <c r="BC76" s="90">
        <f>IF(AND(ISNUMBER(BA76),ISNUMBER(BB76),N(BA76)&gt;0),1-BB76/BA76,"")</f>
        <v/>
      </c>
      <c r="BD76" s="102" t="n">
        <v>2660</v>
      </c>
      <c r="BE76" s="102" t="n">
        <v>3245</v>
      </c>
      <c r="BF76" s="103">
        <f>IF(AND(ISNUMBER(BD76),ISNUMBER(BE76),N(BE76)&gt;0),BD76/BE76,"")</f>
        <v/>
      </c>
      <c r="BG76" s="100" t="inlineStr">
        <is>
          <t>N</t>
        </is>
      </c>
      <c r="BH76" s="100" t="inlineStr">
        <is>
          <t>List Price $11.99</t>
        </is>
      </c>
    </row>
    <row r="77" ht="62" customHeight="1">
      <c r="A77" s="10">
        <f>_xlfn.IMAGE("https://m.media-amazon.com/images/I/61rn5-q-SpL._AC_SL1500_.jpg")</f>
        <v/>
      </c>
      <c r="B77" s="86" t="inlineStr">
        <is>
          <t>Casbrove</t>
        </is>
      </c>
      <c r="C77" s="32" t="inlineStr">
        <is>
          <t>Silk Pillowcase</t>
        </is>
      </c>
      <c r="D77" s="86" t="inlineStr">
        <is>
          <t>Untiered</t>
        </is>
      </c>
      <c r="E77" s="87" t="inlineStr">
        <is>
          <t>B09V4R7MMZ</t>
        </is>
      </c>
      <c r="F77" s="87" t="inlineStr">
        <is>
          <t>B0BXP2FQYZ</t>
        </is>
      </c>
      <c r="G77" s="86" t="inlineStr">
        <is>
          <t>Standard</t>
        </is>
      </c>
      <c r="H77" s="86" t="inlineStr">
        <is>
          <t>Green</t>
        </is>
      </c>
      <c r="I77" s="88" t="n"/>
      <c r="J77" s="32" t="inlineStr"/>
      <c r="K77" s="89" t="n">
        <v>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9597</v>
      </c>
      <c r="S77" s="88" t="n">
        <v>197</v>
      </c>
      <c r="T77" s="93">
        <f>IF(AND(ISNUMBER(K77),ISNUMBER(S77)),K77*S77*52/12,"")</f>
        <v/>
      </c>
      <c r="U77" s="94" t="n">
        <v>4.5</v>
      </c>
      <c r="V77" s="88" t="n">
        <v>3879</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9.99</v>
      </c>
      <c r="AV77" s="98" t="inlineStr">
        <is>
          <t>none</t>
        </is>
      </c>
      <c r="AW77" s="98" t="inlineStr">
        <is>
          <t>Y</t>
        </is>
      </c>
      <c r="AX77" s="98" t="inlineStr">
        <is>
          <t>2026-10-13 23:45:14</t>
        </is>
      </c>
      <c r="AY77" s="100" t="inlineStr">
        <is>
          <t>Coupon only</t>
        </is>
      </c>
      <c r="AZ77" s="100" t="inlineStr">
        <is>
          <t>11-01 to 12-04</t>
        </is>
      </c>
      <c r="BA77" s="101" t="n">
        <v>9.99</v>
      </c>
      <c r="BB77" s="101" t="n">
        <v>7.21</v>
      </c>
      <c r="BC77" s="90">
        <f>IF(AND(ISNUMBER(BA77),ISNUMBER(BB77),N(BA77)&gt;0),1-BB77/BA77,"")</f>
        <v/>
      </c>
      <c r="BD77" s="102" t="n">
        <v>19604</v>
      </c>
      <c r="BE77" s="102" t="n">
        <v>13201</v>
      </c>
      <c r="BF77" s="103">
        <f>IF(AND(ISNUMBER(BD77),ISNUMBER(BE77),N(BE77)&gt;0),BD77/BE77,"")</f>
        <v/>
      </c>
      <c r="BG77" s="100" t="inlineStr">
        <is>
          <t>N</t>
        </is>
      </c>
      <c r="BH77" s="100" t="inlineStr">
        <is>
          <t>Lightning Deal 11-05 to 11-15; Coupon 15%; List Price $9.99</t>
        </is>
      </c>
    </row>
    <row r="78" ht="62" customHeight="1">
      <c r="A78" s="10">
        <f>_xlfn.IMAGE("https://images-na.ssl-images-amazon.com/images/I/61dObyBs-kL.jpg")</f>
        <v/>
      </c>
      <c r="B78" s="86" t="inlineStr">
        <is>
          <t>Adubor</t>
        </is>
      </c>
      <c r="C78" s="32" t="inlineStr">
        <is>
          <t>Adubor 100% Silk Pillowcase - Mulberry Silk Pillow Cases, 22 Momme 6A Grade Fibers, Silk Pillow Case for Hair and Skin Health, with Hidden Zipper (Standard 20''×26'', Ivory White, 1PC)</t>
        </is>
      </c>
      <c r="D78" s="86" t="inlineStr">
        <is>
          <t>Untiered</t>
        </is>
      </c>
      <c r="E78" s="87" t="inlineStr">
        <is>
          <t>B07XD9468J</t>
        </is>
      </c>
      <c r="F78" s="87" t="inlineStr">
        <is>
          <t>B07VKRTKRM</t>
        </is>
      </c>
      <c r="G78" s="86" t="inlineStr">
        <is>
          <t>Standard</t>
        </is>
      </c>
      <c r="H78" s="86" t="inlineStr">
        <is>
          <t>Ivory White</t>
        </is>
      </c>
      <c r="I78" s="88" t="n">
        <v>65</v>
      </c>
      <c r="J78" s="32" t="inlineStr"/>
      <c r="K78" s="89" t="n">
        <v>19.99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11494</v>
      </c>
      <c r="S78" s="88" t="n">
        <v>185</v>
      </c>
      <c r="T78" s="93">
        <f>IF(AND(ISNUMBER(K78),ISNUMBER(S78)),K78*S78*52/12,"")</f>
        <v/>
      </c>
      <c r="U78" s="94" t="n">
        <v>4.4</v>
      </c>
      <c r="V78" s="88" t="n">
        <v>18955</v>
      </c>
      <c r="W78" s="95" t="n">
        <v>46307</v>
      </c>
      <c r="X78" s="95" t="n">
        <v>43670</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19.99</v>
      </c>
      <c r="AV78" s="98" t="inlineStr">
        <is>
          <t>none</t>
        </is>
      </c>
      <c r="AW78" s="98" t="inlineStr">
        <is>
          <t>Y</t>
        </is>
      </c>
      <c r="AX78" s="98" t="inlineStr">
        <is>
          <t>2026-10-13 23:44:52</t>
        </is>
      </c>
      <c r="AY78" s="100" t="inlineStr">
        <is>
          <t>Price cut only</t>
        </is>
      </c>
      <c r="AZ78" s="100" t="inlineStr">
        <is>
          <t>11-20 to 12-01</t>
        </is>
      </c>
      <c r="BA78" s="101" t="n">
        <v>16.99</v>
      </c>
      <c r="BB78" s="101" t="n">
        <v>15.19</v>
      </c>
      <c r="BC78" s="90">
        <f>IF(AND(ISNUMBER(BA78),ISNUMBER(BB78),N(BA78)&gt;0),1-BB78/BA78,"")</f>
        <v/>
      </c>
      <c r="BD78" s="102" t="n">
        <v>16136</v>
      </c>
      <c r="BE78" s="102" t="n">
        <v>7402</v>
      </c>
      <c r="BF78" s="103">
        <f>IF(AND(ISNUMBER(BD78),ISNUMBER(BE78),N(BE78)&gt;0),BD78/BE78,"")</f>
        <v/>
      </c>
      <c r="BG78" s="100" t="inlineStr">
        <is>
          <t>N</t>
        </is>
      </c>
      <c r="BH78" s="100" t="inlineStr">
        <is>
          <t>List Price $21.99</t>
        </is>
      </c>
    </row>
    <row r="79" ht="62" customHeight="1">
      <c r="A79" s="10">
        <f>_xlfn.IMAGE("https://images-na.ssl-images-amazon.com/images/I/71B1EXVMIiL.jpg")</f>
        <v/>
      </c>
      <c r="B79" s="86" t="inlineStr">
        <is>
          <t>J JIMOO</t>
        </is>
      </c>
      <c r="C79" s="32" t="inlineStr">
        <is>
          <t>100% Mulberry Silk Pillowcase for Hair and Skin, 22 Momme Pure Natural Silk Pillow Case Both Sided with Zipper, Pillow Cover for Women Mom Men (Silver Grey, Standard 20''×26'', 1 Pack)</t>
        </is>
      </c>
      <c r="D79" s="86" t="inlineStr">
        <is>
          <t>Untiered</t>
        </is>
      </c>
      <c r="E79" s="87" t="inlineStr">
        <is>
          <t>B0DS1T8ZR7</t>
        </is>
      </c>
      <c r="F79" s="87" t="inlineStr">
        <is>
          <t>B07RGFS927</t>
        </is>
      </c>
      <c r="G79" s="86" t="inlineStr">
        <is>
          <t>Standard</t>
        </is>
      </c>
      <c r="H79" s="86" t="inlineStr">
        <is>
          <t>Silver Grey</t>
        </is>
      </c>
      <c r="I79" s="88" t="n">
        <v>43</v>
      </c>
      <c r="J79" s="32" t="inlineStr"/>
      <c r="K79" s="89" t="n">
        <v>25.99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5604</v>
      </c>
      <c r="S79" s="88" t="n">
        <v>173</v>
      </c>
      <c r="T79" s="93">
        <f>IF(AND(ISNUMBER(K79),ISNUMBER(S79)),K79*S79*52/12,"")</f>
        <v/>
      </c>
      <c r="U79" s="94" t="n">
        <v>4.5</v>
      </c>
      <c r="V79" s="88" t="n">
        <v>31715</v>
      </c>
      <c r="W79" s="95" t="n">
        <v>46307</v>
      </c>
      <c r="X79" s="95" t="n">
        <v>43589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25.99</v>
      </c>
      <c r="AV79" s="98" t="inlineStr">
        <is>
          <t>none</t>
        </is>
      </c>
      <c r="AW79" s="98" t="inlineStr">
        <is>
          <t>Y</t>
        </is>
      </c>
      <c r="AX79" s="98" t="inlineStr">
        <is>
          <t>2026-10-13 23:45:48</t>
        </is>
      </c>
      <c r="AY79" s="100" t="inlineStr">
        <is>
          <t>Price cut only</t>
        </is>
      </c>
      <c r="AZ79" s="100" t="inlineStr">
        <is>
          <t>11-20 to 12-01</t>
        </is>
      </c>
      <c r="BA79" s="101" t="n">
        <v>25.99</v>
      </c>
      <c r="BB79" s="101" t="n">
        <v>23.44</v>
      </c>
      <c r="BC79" s="90">
        <f>IF(AND(ISNUMBER(BA79),ISNUMBER(BB79),N(BA79)&gt;0),1-BB79/BA79,"")</f>
        <v/>
      </c>
      <c r="BD79" s="102" t="n">
        <v>3674</v>
      </c>
      <c r="BE79" s="102" t="n">
        <v>1356</v>
      </c>
      <c r="BF79" s="103">
        <f>IF(AND(ISNUMBER(BD79),ISNUMBER(BE79),N(BE79)&gt;0),BD79/BE79,"")</f>
        <v/>
      </c>
      <c r="BG79" s="100" t="inlineStr">
        <is>
          <t>N</t>
        </is>
      </c>
      <c r="BH79" s="100" t="inlineStr">
        <is>
          <t>Coupon 10%, 5% (11-01 to 12-05); List Price $39.99</t>
        </is>
      </c>
    </row>
    <row r="80" ht="62" customHeight="1">
      <c r="A80" s="10">
        <f>_xlfn.IMAGE("https://images-na.ssl-images-amazon.com/images/I/51jDXAKxi2L.jpg")</f>
        <v/>
      </c>
      <c r="B80" s="86" t="inlineStr">
        <is>
          <t>Ravmix</t>
        </is>
      </c>
      <c r="C80" s="32" t="inlineStr">
        <is>
          <t>Ravmix 100% Silk Pillow Cases with Zipper, 21 Momme Mulberry Silk Pillowcase for Hair Skin Health, Soft Smooth Breathable Cool Pillow Cover for Beauty Sleep(Standard 20"x26", Ivory White) 1PC</t>
        </is>
      </c>
      <c r="D80" s="86" t="inlineStr">
        <is>
          <t>Untiered</t>
        </is>
      </c>
      <c r="E80" s="87" t="inlineStr">
        <is>
          <t>B0H9S9ZNL2</t>
        </is>
      </c>
      <c r="F80" s="87" t="inlineStr">
        <is>
          <t>B07KJYP1VC</t>
        </is>
      </c>
      <c r="G80" s="86" t="inlineStr">
        <is>
          <t>Standard</t>
        </is>
      </c>
      <c r="H80" s="86" t="inlineStr">
        <is>
          <t>White</t>
        </is>
      </c>
      <c r="I80" s="88" t="n">
        <v>65</v>
      </c>
      <c r="J80" s="32" t="inlineStr"/>
      <c r="K80" s="89" t="n">
        <v>19.99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17242</v>
      </c>
      <c r="S80" s="88" t="n">
        <v>104</v>
      </c>
      <c r="T80" s="93">
        <f>IF(AND(ISNUMBER(K80),ISNUMBER(S80)),K80*S80*52/12,"")</f>
        <v/>
      </c>
      <c r="U80" s="94" t="n">
        <v>4.5</v>
      </c>
      <c r="V80" s="88" t="n">
        <v>33594</v>
      </c>
      <c r="W80" s="95" t="n">
        <v>46307</v>
      </c>
      <c r="X80" s="95" t="n">
        <v>43429</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19.99</v>
      </c>
      <c r="AV80" s="98" t="inlineStr">
        <is>
          <t>none</t>
        </is>
      </c>
      <c r="AW80" s="98" t="inlineStr">
        <is>
          <t>Y</t>
        </is>
      </c>
      <c r="AX80" s="98" t="inlineStr">
        <is>
          <t>2026-10-13 23:46:39</t>
        </is>
      </c>
      <c r="AY80" s="100" t="inlineStr">
        <is>
          <t>Price cut only</t>
        </is>
      </c>
      <c r="AZ80" s="100" t="inlineStr">
        <is>
          <t>11-20 to 12-01</t>
        </is>
      </c>
      <c r="BA80" s="101" t="n">
        <v>17.99</v>
      </c>
      <c r="BB80" s="101" t="n">
        <v>14.44</v>
      </c>
      <c r="BC80" s="90">
        <f>IF(AND(ISNUMBER(BA80),ISNUMBER(BB80),N(BA80)&gt;0),1-BB80/BA80,"")</f>
        <v/>
      </c>
      <c r="BD80" s="102" t="n">
        <v>13902</v>
      </c>
      <c r="BE80" s="102" t="n">
        <v>10260</v>
      </c>
      <c r="BF80" s="103">
        <f>IF(AND(ISNUMBER(BD80),ISNUMBER(BE80),N(BE80)&gt;0),BD80/BE80,"")</f>
        <v/>
      </c>
      <c r="BG80" s="100" t="inlineStr">
        <is>
          <t>N</t>
        </is>
      </c>
      <c r="BH80" s="100" t="inlineStr">
        <is>
          <t>List Price $22.99</t>
        </is>
      </c>
    </row>
    <row r="81" ht="62" customHeight="1">
      <c r="A81" s="10">
        <f>_xlfn.IMAGE("https://m.media-amazon.com/images/I/61zgTYFkqeL._AC_SL1407_.jpg")</f>
        <v/>
      </c>
      <c r="B81" s="86" t="inlineStr">
        <is>
          <t>INSSL</t>
        </is>
      </c>
      <c r="C81" s="32" t="inlineStr">
        <is>
          <t>Silk Pillowcase</t>
        </is>
      </c>
      <c r="D81" s="86" t="inlineStr">
        <is>
          <t>Untiered</t>
        </is>
      </c>
      <c r="E81" s="87" t="inlineStr">
        <is>
          <t>B0BCGZVPCM</t>
        </is>
      </c>
      <c r="F81" s="87" t="inlineStr">
        <is>
          <t>B089SJQP45</t>
        </is>
      </c>
      <c r="G81" s="86" t="inlineStr">
        <is>
          <t>Standard</t>
        </is>
      </c>
      <c r="H81" s="86" t="inlineStr">
        <is>
          <t>Dark Purple</t>
        </is>
      </c>
      <c r="I81" s="88" t="n"/>
      <c r="J81" s="32" t="inlineStr"/>
      <c r="K81" s="89" t="n">
        <v>13.99</v>
      </c>
      <c r="L81" s="89" t="n"/>
      <c r="M81" s="90">
        <f>IF(AND(ISNUMBER(L81),ISNUMBER(K81),N(K81)&gt;0),L81/K81-1,"")</f>
        <v/>
      </c>
      <c r="N81" s="91">
        <f>IF(M81="","No List Price",IF(M81&lt;=0,"At/below price",IF(M81&lt;=0.12,"&lt;=12% STR zone",IF(M81&lt;=0.25,"12-25%","&gt;25% over"))))</f>
        <v/>
      </c>
      <c r="O81" s="89" t="n">
        <v>44.95</v>
      </c>
      <c r="P81" s="92">
        <f>IF(AND(ISNUMBER(K81),ISNUMBER(O81),N(O81)&gt;0),K81/O81-1,"")</f>
        <v/>
      </c>
      <c r="Q81" s="32" t="inlineStr">
        <is>
          <t>Same size (Standard). Ours live: Helium 10 Xray, 2026-10-13; 6 children</t>
        </is>
      </c>
      <c r="R81" s="88" t="n">
        <v>14446</v>
      </c>
      <c r="S81" s="88" t="n">
        <v>92</v>
      </c>
      <c r="T81" s="93">
        <f>IF(AND(ISNUMBER(K81),ISNUMBER(S81)),K81*S81*52/12,"")</f>
        <v/>
      </c>
      <c r="U81" s="94" t="n">
        <v>4.5</v>
      </c>
      <c r="V81" s="88" t="n">
        <v>11647</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23:45:45</t>
        </is>
      </c>
      <c r="AY81" s="100" t="inlineStr">
        <is>
          <t>Price cut only</t>
        </is>
      </c>
      <c r="AZ81" s="100" t="inlineStr">
        <is>
          <t>11-20 to 12-01</t>
        </is>
      </c>
      <c r="BA81" s="101" t="n">
        <v>14.99</v>
      </c>
      <c r="BB81" s="101" t="n">
        <v>12.74</v>
      </c>
      <c r="BC81" s="90">
        <f>IF(AND(ISNUMBER(BA81),ISNUMBER(BB81),N(BA81)&gt;0),1-BB81/BA81,"")</f>
        <v/>
      </c>
      <c r="BD81" s="102" t="n">
        <v>12250</v>
      </c>
      <c r="BE81" s="102" t="n">
        <v>8105</v>
      </c>
      <c r="BF81" s="103">
        <f>IF(AND(ISNUMBER(BD81),ISNUMBER(BE81),N(BE81)&gt;0),BD81/BE81,"")</f>
        <v/>
      </c>
      <c r="BG81" s="100" t="inlineStr">
        <is>
          <t>N</t>
        </is>
      </c>
      <c r="BH81" s="100" t="inlineStr">
        <is>
          <t>Lightning Deal 11-14 to 11-14; List Price $22.99</t>
        </is>
      </c>
    </row>
    <row r="82" ht="62" customHeight="1">
      <c r="A82" s="10">
        <f>_xlfn.IMAGE("https://m.media-amazon.com/images/I/61vNvMfDkpL._AC_SL1500_.jpg")</f>
        <v/>
      </c>
      <c r="B82" s="86" t="inlineStr">
        <is>
          <t>SIYUAN</t>
        </is>
      </c>
      <c r="C82" s="32" t="inlineStr">
        <is>
          <t>Silk Pillowcase</t>
        </is>
      </c>
      <c r="D82" s="86" t="inlineStr">
        <is>
          <t>Untiered</t>
        </is>
      </c>
      <c r="E82" s="87" t="inlineStr">
        <is>
          <t>B0C395RDGT</t>
        </is>
      </c>
      <c r="F82" s="87" t="inlineStr">
        <is>
          <t>B0BBC1GN6H</t>
        </is>
      </c>
      <c r="G82" s="86" t="inlineStr">
        <is>
          <t>Toddler</t>
        </is>
      </c>
      <c r="H82" s="86" t="inlineStr">
        <is>
          <t>Champagne</t>
        </is>
      </c>
      <c r="I82" s="88" t="n"/>
      <c r="J82" s="32" t="inlineStr"/>
      <c r="K82" s="89" t="n">
        <v>13.99</v>
      </c>
      <c r="L82" s="89" t="n"/>
      <c r="M82" s="90">
        <f>IF(AND(ISNUMBER(L82),ISNUMBER(K82),N(K82)&gt;0),L82/K82-1,"")</f>
        <v/>
      </c>
      <c r="N82" s="91">
        <f>IF(M82="","No List Price",IF(M82&lt;=0,"At/below price",IF(M82&lt;=0.12,"&lt;=12% STR zone",IF(M82&lt;=0.25,"12-25%","&gt;25% over"))))</f>
        <v/>
      </c>
      <c r="O82" s="89" t="n">
        <v>50.20344827586207</v>
      </c>
      <c r="P82" s="92">
        <f>IF(AND(ISNUMBER(K82),ISNUMBER(O82),N(O82)&gt;0),K82/O82-1,"")</f>
        <v/>
      </c>
      <c r="Q82" s="32" t="inlineStr">
        <is>
          <t>vs our blended price (Command Center, Mar 2026 - STALE)</t>
        </is>
      </c>
      <c r="R82" s="88" t="n">
        <v>3332</v>
      </c>
      <c r="S82" s="88" t="n">
        <v>81</v>
      </c>
      <c r="T82" s="93">
        <f>IF(AND(ISNUMBER(K82),ISNUMBER(S82)),K82*S82*52/12,"")</f>
        <v/>
      </c>
      <c r="U82" s="94" t="n">
        <v>4.5</v>
      </c>
      <c r="V82" s="88" t="n">
        <v>9825</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13.99</v>
      </c>
      <c r="AV82" s="98" t="inlineStr">
        <is>
          <t>none</t>
        </is>
      </c>
      <c r="AW82" s="98" t="inlineStr">
        <is>
          <t>Y</t>
        </is>
      </c>
      <c r="AX82" s="98" t="inlineStr">
        <is>
          <t>2026-10-13 23:46:48</t>
        </is>
      </c>
      <c r="AY82" s="100" t="inlineStr">
        <is>
          <t>None</t>
        </is>
      </c>
      <c r="AZ82" s="105" t="n"/>
      <c r="BA82" s="101" t="n">
        <v>11.69</v>
      </c>
      <c r="BB82" s="101" t="n">
        <v>11.89</v>
      </c>
      <c r="BC82" s="90">
        <f>IF(AND(ISNUMBER(BA82),ISNUMBER(BB82),N(BA82)&gt;0),1-BB82/BA82,"")</f>
        <v/>
      </c>
      <c r="BD82" s="102" t="n">
        <v>4220</v>
      </c>
      <c r="BE82" s="102" t="n">
        <v>4760</v>
      </c>
      <c r="BF82" s="103">
        <f>IF(AND(ISNUMBER(BD82),ISNUMBER(BE82),N(BE82)&gt;0),BD82/BE82,"")</f>
        <v/>
      </c>
      <c r="BG82" s="100" t="inlineStr">
        <is>
          <t>N</t>
        </is>
      </c>
      <c r="BH82" s="100" t="inlineStr">
        <is>
          <t>Buy Box RAISED in BFCM week (median $12.31 vs $11.69 before); List Price $13.99</t>
        </is>
      </c>
    </row>
    <row r="83" ht="62" customHeight="1">
      <c r="A83" s="10">
        <f>_xlfn.IMAGE("https://m.media-amazon.com/images/I/61TU5+iRNrL._AC_SL1500_.jpg")</f>
        <v/>
      </c>
      <c r="B83" s="86" t="inlineStr">
        <is>
          <t>WLOSJ</t>
        </is>
      </c>
      <c r="C83" s="32" t="inlineStr">
        <is>
          <t>Silk Pillow</t>
        </is>
      </c>
      <c r="D83" s="86" t="inlineStr">
        <is>
          <t>Untiered</t>
        </is>
      </c>
      <c r="E83" s="87" t="inlineStr">
        <is>
          <t>B0CZF5V1W7</t>
        </is>
      </c>
      <c r="F83" s="87" t="inlineStr">
        <is>
          <t>B09T6DV8BB</t>
        </is>
      </c>
      <c r="G83" s="86" t="inlineStr">
        <is>
          <t>Queen</t>
        </is>
      </c>
      <c r="H83" s="86" t="inlineStr">
        <is>
          <t>Gray</t>
        </is>
      </c>
      <c r="I83" s="88" t="n"/>
      <c r="J83" s="32" t="inlineStr"/>
      <c r="K83" s="89" t="n">
        <v>19.99</v>
      </c>
      <c r="L83" s="89" t="n"/>
      <c r="M83" s="90">
        <f>IF(AND(ISNUMBER(L83),ISNUMBER(K83),N(K83)&gt;0),L83/K83-1,"")</f>
        <v/>
      </c>
      <c r="N83" s="91">
        <f>IF(M83="","No List Price",IF(M83&lt;=0,"At/below price",IF(M83&lt;=0.12,"&lt;=12% STR zone",IF(M83&lt;=0.25,"12-25%","&gt;25% over"))))</f>
        <v/>
      </c>
      <c r="O83" s="89" t="n">
        <v>49.95</v>
      </c>
      <c r="P83" s="92">
        <f>IF(AND(ISNUMBER(K83),ISNUMBER(O83),N(O83)&gt;0),K83/O83-1,"")</f>
        <v/>
      </c>
      <c r="Q83" s="32" t="inlineStr">
        <is>
          <t>Same size (Queen). Ours live: Helium 10 Xray, 2026-10-13; 6 children</t>
        </is>
      </c>
      <c r="R83" s="88" t="n">
        <v>19251</v>
      </c>
      <c r="S83" s="88" t="n">
        <v>81</v>
      </c>
      <c r="T83" s="93">
        <f>IF(AND(ISNUMBER(K83),ISNUMBER(S83)),K83*S83*52/12,"")</f>
        <v/>
      </c>
      <c r="U83" s="94" t="n">
        <v>4.2</v>
      </c>
      <c r="V83" s="88" t="n">
        <v>1464</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19.99</v>
      </c>
      <c r="AV83" s="98" t="inlineStr">
        <is>
          <t>none</t>
        </is>
      </c>
      <c r="AW83" s="98" t="inlineStr">
        <is>
          <t>Y</t>
        </is>
      </c>
      <c r="AX83" s="98" t="inlineStr">
        <is>
          <t>2026-10-13 23:47:07</t>
        </is>
      </c>
      <c r="AY83" s="100" t="inlineStr">
        <is>
          <t>Coupon only</t>
        </is>
      </c>
      <c r="AZ83" s="100" t="inlineStr">
        <is>
          <t>11-01 to 11-22</t>
        </is>
      </c>
      <c r="BA83" s="101" t="n">
        <v>20.88</v>
      </c>
      <c r="BB83" s="101" t="n">
        <v>14.95</v>
      </c>
      <c r="BC83" s="90">
        <f>IF(AND(ISNUMBER(BA83),ISNUMBER(BB83),N(BA83)&gt;0),1-BB83/BA83,"")</f>
        <v/>
      </c>
      <c r="BD83" s="102" t="n">
        <v>32544</v>
      </c>
      <c r="BE83" s="102" t="n">
        <v>18137</v>
      </c>
      <c r="BF83" s="103">
        <f>IF(AND(ISNUMBER(BD83),ISNUMBER(BE83),N(BE83)&gt;0),BD83/BE83,"")</f>
        <v/>
      </c>
      <c r="BG83" s="100" t="inlineStr">
        <is>
          <t>N</t>
        </is>
      </c>
      <c r="BH83" s="100" t="inlineStr">
        <is>
          <t>Coupon 20%; List Price $45.99</t>
        </is>
      </c>
    </row>
    <row r="84" ht="62" customHeight="1">
      <c r="A84" s="10">
        <f>_xlfn.IMAGE("https://m.media-amazon.com/images/I/61y1UOqmn9L._AC_SL1500_.jpg")</f>
        <v/>
      </c>
      <c r="B84" s="86" t="inlineStr">
        <is>
          <t>Kinself</t>
        </is>
      </c>
      <c r="C84" s="32" t="inlineStr">
        <is>
          <t>Silk Pillowcase</t>
        </is>
      </c>
      <c r="D84" s="86" t="inlineStr">
        <is>
          <t>Untiered</t>
        </is>
      </c>
      <c r="E84" s="87" t="inlineStr">
        <is>
          <t>B0CM16H4RY</t>
        </is>
      </c>
      <c r="F84" s="87" t="inlineStr">
        <is>
          <t>B0CKLCLQ62</t>
        </is>
      </c>
      <c r="G84" s="86" t="inlineStr">
        <is>
          <t>Standard</t>
        </is>
      </c>
      <c r="H84" s="86" t="inlineStr">
        <is>
          <t>Little Blue</t>
        </is>
      </c>
      <c r="I84" s="88" t="n"/>
      <c r="J84" s="32" t="inlineStr"/>
      <c r="K84" s="89" t="n">
        <v>20.99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90616</v>
      </c>
      <c r="S84" s="88" t="n">
        <v>18</v>
      </c>
      <c r="T84" s="93">
        <f>IF(AND(ISNUMBER(K84),ISNUMBER(S84)),K84*S84*52/12,"")</f>
        <v/>
      </c>
      <c r="U84" s="94" t="n">
        <v>4.5</v>
      </c>
      <c r="V84" s="88" t="n">
        <v>1457</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20.99</v>
      </c>
      <c r="AV84" s="98" t="inlineStr">
        <is>
          <t>none</t>
        </is>
      </c>
      <c r="AW84" s="98" t="inlineStr">
        <is>
          <t>Y</t>
        </is>
      </c>
      <c r="AX84" s="98" t="inlineStr">
        <is>
          <t>2026-10-13 23:46:00</t>
        </is>
      </c>
      <c r="AY84" s="100" t="inlineStr">
        <is>
          <t>None</t>
        </is>
      </c>
      <c r="AZ84" s="105" t="n"/>
      <c r="BA84" s="101" t="n">
        <v>18.99</v>
      </c>
      <c r="BB84" s="101" t="n">
        <v>18.99</v>
      </c>
      <c r="BC84" s="90">
        <f>IF(AND(ISNUMBER(BA84),ISNUMBER(BB84),N(BA84)&gt;0),1-BB84/BA84,"")</f>
        <v/>
      </c>
      <c r="BD84" s="102" t="n">
        <v>48719</v>
      </c>
      <c r="BE84" s="102" t="n">
        <v>56978</v>
      </c>
      <c r="BF84" s="103">
        <f>IF(AND(ISNUMBER(BD84),ISNUMBER(BE84),N(BE84)&gt;0),BD84/BE84,"")</f>
        <v/>
      </c>
      <c r="BG84" s="100" t="inlineStr">
        <is>
          <t>N</t>
        </is>
      </c>
      <c r="BH84" s="100" t="inlineStr">
        <is>
          <t>List Price $34.99</t>
        </is>
      </c>
    </row>
    <row r="85" ht="62" customHeight="1">
      <c r="A85" s="10">
        <f>_xlfn.IMAGE("https://m.media-amazon.com/images/I/31G6cEPPybL._AC_.jpg")</f>
        <v/>
      </c>
      <c r="B85" s="86" t="inlineStr">
        <is>
          <t>Jocoku</t>
        </is>
      </c>
      <c r="C85" s="32" t="inlineStr">
        <is>
          <t>Silk Pillowcase</t>
        </is>
      </c>
      <c r="D85" s="86" t="inlineStr">
        <is>
          <t>Untiered</t>
        </is>
      </c>
      <c r="E85" s="87" t="inlineStr">
        <is>
          <t>B08BFG7CNK</t>
        </is>
      </c>
      <c r="F85" s="87" t="inlineStr">
        <is>
          <t>B07JLLJSK5</t>
        </is>
      </c>
      <c r="G85" s="86" t="inlineStr">
        <is>
          <t>Standard</t>
        </is>
      </c>
      <c r="H85" s="86" t="inlineStr">
        <is>
          <t>White</t>
        </is>
      </c>
      <c r="I85" s="88" t="n"/>
      <c r="J85" s="32" t="inlineStr"/>
      <c r="K85" s="89" t="n">
        <v>21.99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83599</v>
      </c>
      <c r="S85" s="88" t="n">
        <v>5</v>
      </c>
      <c r="T85" s="93">
        <f>IF(AND(ISNUMBER(K85),ISNUMBER(S85)),K85*S85*52/12,"")</f>
        <v/>
      </c>
      <c r="U85" s="94" t="n">
        <v>4.4</v>
      </c>
      <c r="V85" s="88" t="n">
        <v>14841</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21.99</v>
      </c>
      <c r="AV85" s="98" t="inlineStr">
        <is>
          <t>none</t>
        </is>
      </c>
      <c r="AW85" s="98" t="inlineStr">
        <is>
          <t>Y</t>
        </is>
      </c>
      <c r="AX85" s="98" t="inlineStr">
        <is>
          <t>2026-10-13 23:45:57</t>
        </is>
      </c>
      <c r="AY85" s="100" t="inlineStr">
        <is>
          <t>None</t>
        </is>
      </c>
      <c r="AZ85" s="105" t="n"/>
      <c r="BA85" s="101" t="n">
        <v>21.99</v>
      </c>
      <c r="BB85" s="101" t="n">
        <v>21.99</v>
      </c>
      <c r="BC85" s="90">
        <f>IF(AND(ISNUMBER(BA85),ISNUMBER(BB85),N(BA85)&gt;0),1-BB85/BA85,"")</f>
        <v/>
      </c>
      <c r="BD85" s="102" t="n">
        <v>44113</v>
      </c>
      <c r="BE85" s="102" t="n">
        <v>55874</v>
      </c>
      <c r="BF85" s="103">
        <f>IF(AND(ISNUMBER(BD85),ISNUMBER(BE85),N(BE85)&gt;0),BD85/BE85,"")</f>
        <v/>
      </c>
      <c r="BG85" s="100" t="inlineStr">
        <is>
          <t>N</t>
        </is>
      </c>
      <c r="BH85" s="100" t="inlineStr">
        <is>
          <t>Coupon 15% (11-01 to 11-06); List Price $32.99</t>
        </is>
      </c>
    </row>
    <row r="86" ht="62" customHeight="1">
      <c r="A86" s="10">
        <f>_xlfn.IMAGE("https://m.media-amazon.com/images/I/51fFhUnFoiL._AC_SL1080_.jpg")</f>
        <v/>
      </c>
      <c r="B86" s="86" t="inlineStr">
        <is>
          <t>JOGJUE</t>
        </is>
      </c>
      <c r="C86" s="32" t="inlineStr">
        <is>
          <t>Silk Pillowcase</t>
        </is>
      </c>
      <c r="D86" s="86" t="inlineStr">
        <is>
          <t>Untiered</t>
        </is>
      </c>
      <c r="E86" s="87" t="inlineStr">
        <is>
          <t>B094NS7KFX</t>
        </is>
      </c>
      <c r="F86" s="87" t="inlineStr">
        <is>
          <t>B07S2XV3TG</t>
        </is>
      </c>
      <c r="G86" s="86" t="inlineStr">
        <is>
          <t>Standard</t>
        </is>
      </c>
      <c r="H86" s="86" t="inlineStr">
        <is>
          <t>Apricotgray</t>
        </is>
      </c>
      <c r="I86" s="88" t="n"/>
      <c r="J86" s="32" t="inlineStr"/>
      <c r="K86" s="89" t="n">
        <v>20.99</v>
      </c>
      <c r="L86" s="89" t="n"/>
      <c r="M86" s="90">
        <f>IF(AND(ISNUMBER(L86),ISNUMBER(K86),N(K86)&gt;0),L86/K86-1,"")</f>
        <v/>
      </c>
      <c r="N86" s="91">
        <f>IF(M86="","No List Price",IF(M86&lt;=0,"At/below price",IF(M86&lt;=0.12,"&lt;=12% STR zone",IF(M86&lt;=0.25,"12-25%","&gt;25% over"))))</f>
        <v/>
      </c>
      <c r="O86" s="89" t="n">
        <v>44.95</v>
      </c>
      <c r="P86" s="92">
        <f>IF(AND(ISNUMBER(K86),ISNUMBER(O86),N(O86)&gt;0),K86/O86-1,"")</f>
        <v/>
      </c>
      <c r="Q86" s="32" t="inlineStr">
        <is>
          <t>Same size (Standard). Ours live: Helium 10 Xray, 2026-10-13; 6 children</t>
        </is>
      </c>
      <c r="R86" s="88" t="n">
        <v>135984</v>
      </c>
      <c r="S86" s="88" t="n">
        <v>5</v>
      </c>
      <c r="T86" s="93">
        <f>IF(AND(ISNUMBER(K86),ISNUMBER(S86)),K86*S86*52/12,"")</f>
        <v/>
      </c>
      <c r="U86" s="94" t="n">
        <v>4.4</v>
      </c>
      <c r="V86" s="88" t="n">
        <v>8036</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20.99</v>
      </c>
      <c r="AV86" s="98" t="inlineStr">
        <is>
          <t>none</t>
        </is>
      </c>
      <c r="AW86" s="98" t="inlineStr">
        <is>
          <t>Y</t>
        </is>
      </c>
      <c r="AX86" s="98" t="inlineStr">
        <is>
          <t>2026-10-13 23:45:51</t>
        </is>
      </c>
      <c r="AY86" s="100" t="inlineStr">
        <is>
          <t>None</t>
        </is>
      </c>
      <c r="AZ86" s="105" t="n"/>
      <c r="BA86" s="101" t="n">
        <v>20.99</v>
      </c>
      <c r="BB86" s="101" t="n">
        <v>20.99</v>
      </c>
      <c r="BC86" s="90">
        <f>IF(AND(ISNUMBER(BA86),ISNUMBER(BB86),N(BA86)&gt;0),1-BB86/BA86,"")</f>
        <v/>
      </c>
      <c r="BD86" s="102" t="n">
        <v>71624</v>
      </c>
      <c r="BE86" s="102" t="n">
        <v>90692</v>
      </c>
      <c r="BF86" s="103">
        <f>IF(AND(ISNUMBER(BD86),ISNUMBER(BE86),N(BE86)&gt;0),BD86/BE86,"")</f>
        <v/>
      </c>
      <c r="BG86" s="100" t="inlineStr">
        <is>
          <t>N</t>
        </is>
      </c>
      <c r="BH86" s="100" t="inlineStr">
        <is>
          <t>Coupon 15% (11-01 to 11-05); List Price $41.98</t>
        </is>
      </c>
    </row>
    <row r="87" ht="62" customHeight="1">
      <c r="A87" s="10">
        <f>_xlfn.IMAGE("https://m.media-amazon.com/images/I/61ODgg0HUBL._AC_SL1500_.jpg")</f>
        <v/>
      </c>
      <c r="B87" s="86" t="inlineStr">
        <is>
          <t>SGMSILK</t>
        </is>
      </c>
      <c r="C87" s="32" t="inlineStr">
        <is>
          <t>Silk Pillowcase</t>
        </is>
      </c>
      <c r="D87" s="86" t="inlineStr">
        <is>
          <t>Untiered</t>
        </is>
      </c>
      <c r="E87" s="87" t="inlineStr">
        <is>
          <t>B0CM9LCN75</t>
        </is>
      </c>
      <c r="F87" s="87" t="inlineStr">
        <is>
          <t>B0CM9N244T</t>
        </is>
      </c>
      <c r="G87" s="86" t="inlineStr">
        <is>
          <t>King 20"x36"</t>
        </is>
      </c>
      <c r="H87" s="86" t="inlineStr">
        <is>
          <t>Red</t>
        </is>
      </c>
      <c r="I87" s="88" t="n"/>
      <c r="J87" s="32" t="inlineStr"/>
      <c r="K87" s="89" t="n">
        <v>20.99</v>
      </c>
      <c r="L87" s="89" t="n"/>
      <c r="M87" s="90">
        <f>IF(AND(ISNUMBER(L87),ISNUMBER(K87),N(K87)&gt;0),L87/K87-1,"")</f>
        <v/>
      </c>
      <c r="N87" s="91">
        <f>IF(M87="","No List Price",IF(M87&lt;=0,"At/below price",IF(M87&lt;=0.12,"&lt;=12% STR zone",IF(M87&lt;=0.25,"12-25%","&gt;25% over"))))</f>
        <v/>
      </c>
      <c r="O87" s="89" t="n">
        <v>50.20344827586207</v>
      </c>
      <c r="P87" s="92">
        <f>IF(AND(ISNUMBER(K87),ISNUMBER(O87),N(O87)&gt;0),K87/O87-1,"")</f>
        <v/>
      </c>
      <c r="Q87" s="32" t="inlineStr">
        <is>
          <t>vs our blended price (Command Center, Mar 2026 - STALE)</t>
        </is>
      </c>
      <c r="R87" s="88" t="n">
        <v>726721</v>
      </c>
      <c r="S87" s="88" t="n">
        <v>5</v>
      </c>
      <c r="T87" s="93">
        <f>IF(AND(ISNUMBER(K87),ISNUMBER(S87)),K87*S87*52/12,"")</f>
        <v/>
      </c>
      <c r="U87" s="94" t="n">
        <v>4.5</v>
      </c>
      <c r="V87" s="88" t="n">
        <v>673</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104" t="n"/>
      <c r="AV87" s="98" t="inlineStr">
        <is>
          <t>none</t>
        </is>
      </c>
      <c r="AW87" s="98" t="inlineStr">
        <is>
          <t>N</t>
        </is>
      </c>
      <c r="AX87" s="98" t="inlineStr">
        <is>
          <t>2026-10-13 23:46:45</t>
        </is>
      </c>
      <c r="AY87" s="100" t="inlineStr">
        <is>
          <t>Coupon only</t>
        </is>
      </c>
      <c r="AZ87" s="100" t="inlineStr">
        <is>
          <t>11-01 to 11-25</t>
        </is>
      </c>
      <c r="BA87" s="101" t="n">
        <v>22.98</v>
      </c>
      <c r="BB87" s="101" t="n">
        <v>18.38</v>
      </c>
      <c r="BC87" s="90">
        <f>IF(AND(ISNUMBER(BA87),ISNUMBER(BB87),N(BA87)&gt;0),1-BB87/BA87,"")</f>
        <v/>
      </c>
      <c r="BD87" s="102" t="n">
        <v>107397</v>
      </c>
      <c r="BE87" s="102" t="n">
        <v>57077</v>
      </c>
      <c r="BF87" s="103">
        <f>IF(AND(ISNUMBER(BD87),ISNUMBER(BE87),N(BE87)&gt;0),BD87/BE87,"")</f>
        <v/>
      </c>
      <c r="BG87" s="100" t="inlineStr">
        <is>
          <t>N</t>
        </is>
      </c>
      <c r="BH87" s="100" t="inlineStr">
        <is>
          <t>Lightning Deal 11-07 to 11-07; Coupon 20%; List Price $25.99</t>
        </is>
      </c>
    </row>
    <row r="88" ht="62" customHeight="1">
      <c r="A88" s="10">
        <f>_xlfn.IMAGE("https://m.media-amazon.com/images/I/71oeYErDjFL._AC_SL1200_.jpg")</f>
        <v/>
      </c>
      <c r="B88" s="86" t="inlineStr">
        <is>
          <t>Slpbaby</t>
        </is>
      </c>
      <c r="C88" s="32" t="inlineStr">
        <is>
          <t>Silk Pillowcase</t>
        </is>
      </c>
      <c r="D88" s="86" t="inlineStr">
        <is>
          <t>Untiered</t>
        </is>
      </c>
      <c r="E88" s="87" t="inlineStr">
        <is>
          <t>B075CNDRFJ</t>
        </is>
      </c>
      <c r="F88" s="87" t="inlineStr">
        <is>
          <t>B07TV3NVNX</t>
        </is>
      </c>
      <c r="G88" s="86" t="inlineStr">
        <is>
          <t>Standard</t>
        </is>
      </c>
      <c r="H88" s="86" t="inlineStr">
        <is>
          <t>Pattern26</t>
        </is>
      </c>
      <c r="I88" s="88" t="n"/>
      <c r="J88" s="32" t="inlineStr"/>
      <c r="K88" s="89" t="n">
        <v>22.99</v>
      </c>
      <c r="L88" s="89" t="n"/>
      <c r="M88" s="90">
        <f>IF(AND(ISNUMBER(L88),ISNUMBER(K88),N(K88)&gt;0),L88/K88-1,"")</f>
        <v/>
      </c>
      <c r="N88" s="91">
        <f>IF(M88="","No List Price",IF(M88&lt;=0,"At/below price",IF(M88&lt;=0.12,"&lt;=12% STR zone",IF(M88&lt;=0.25,"12-25%","&gt;25% over"))))</f>
        <v/>
      </c>
      <c r="O88" s="89" t="n">
        <v>44.95</v>
      </c>
      <c r="P88" s="92">
        <f>IF(AND(ISNUMBER(K88),ISNUMBER(O88),N(O88)&gt;0),K88/O88-1,"")</f>
        <v/>
      </c>
      <c r="Q88" s="32" t="inlineStr">
        <is>
          <t>Same size (Standard). Ours live: Helium 10 Xray, 2026-10-13; 6 children</t>
        </is>
      </c>
      <c r="R88" s="88" t="n">
        <v>48946</v>
      </c>
      <c r="S88" s="88" t="n">
        <v>5</v>
      </c>
      <c r="T88" s="93">
        <f>IF(AND(ISNUMBER(K88),ISNUMBER(S88)),K88*S88*52/12,"")</f>
        <v/>
      </c>
      <c r="U88" s="94" t="n">
        <v>4.7</v>
      </c>
      <c r="V88" s="88" t="n">
        <v>21427</v>
      </c>
      <c r="W88" s="95" t="n">
        <v>46307</v>
      </c>
      <c r="X88" s="95" t="n"/>
      <c r="Y88" s="86" t="n"/>
      <c r="Z88" s="86" t="n"/>
      <c r="AA88" s="88" t="n"/>
      <c r="AB88" s="88" t="n"/>
      <c r="AC88" s="96" t="n"/>
      <c r="AD88" s="96" t="n"/>
      <c r="AE88" s="32" t="n"/>
      <c r="AF88" s="96" t="n"/>
      <c r="AG88" s="96" t="n"/>
      <c r="AH88" s="96" t="n"/>
      <c r="AI88" s="96" t="n"/>
      <c r="AJ88" s="88" t="n"/>
      <c r="AK88" s="88" t="n"/>
      <c r="AL88" s="88" t="n"/>
      <c r="AM88" s="88" t="n"/>
      <c r="AN88" s="88" t="n"/>
      <c r="AO88" s="88" t="n"/>
      <c r="AP88" s="97" t="n"/>
      <c r="AQ88" s="92" t="n"/>
      <c r="AR88" s="98" t="inlineStr">
        <is>
          <t>N</t>
        </is>
      </c>
      <c r="AS88" s="98" t="inlineStr">
        <is>
          <t>none</t>
        </is>
      </c>
      <c r="AT88" s="104" t="n"/>
      <c r="AU88" s="99" t="n">
        <v>22.99</v>
      </c>
      <c r="AV88" s="98" t="inlineStr">
        <is>
          <t>none</t>
        </is>
      </c>
      <c r="AW88" s="98" t="inlineStr">
        <is>
          <t>Y</t>
        </is>
      </c>
      <c r="AX88" s="98" t="inlineStr">
        <is>
          <t>2026-10-13 23:46:54</t>
        </is>
      </c>
      <c r="AY88" s="100" t="inlineStr">
        <is>
          <t>None</t>
        </is>
      </c>
      <c r="AZ88" s="105" t="n"/>
      <c r="BA88" s="101" t="n">
        <v>22.99</v>
      </c>
      <c r="BB88" s="101" t="n">
        <v>22.99</v>
      </c>
      <c r="BC88" s="90">
        <f>IF(AND(ISNUMBER(BA88),ISNUMBER(BB88),N(BA88)&gt;0),1-BB88/BA88,"")</f>
        <v/>
      </c>
      <c r="BD88" s="102" t="n">
        <v>37549</v>
      </c>
      <c r="BE88" s="102" t="n">
        <v>43588</v>
      </c>
      <c r="BF88" s="103">
        <f>IF(AND(ISNUMBER(BD88),ISNUMBER(BE88),N(BE88)&gt;0),BD88/BE88,"")</f>
        <v/>
      </c>
      <c r="BG88" s="100" t="inlineStr">
        <is>
          <t>N</t>
        </is>
      </c>
      <c r="BH88" s="100" t="inlineStr">
        <is>
          <t>List Price $37.99</t>
        </is>
      </c>
    </row>
    <row r="90" ht="20" customHeight="1">
      <c r="A90" s="53" t="inlineStr">
        <is>
          <t>5 · WHAT THIS MEANS FOR BFCM</t>
        </is>
      </c>
    </row>
    <row r="91" ht="30" customHeight="1">
      <c r="A91" s="107" t="inlineStr">
        <is>
          <t>•  Who sells most: INFIIXSO ~1,732/wk at $57.98; Gabire ~1,732/wk at $19.99; INFIIXSO ~1,732/wk at $7.99; DKBslik ~1,040/wk at $7.34; Suatien ~924/wk at $11.99. Tracked rivals ~9,718 units/wk; we sell ~31/wk (0.3% of the tracked set).</t>
        </is>
      </c>
    </row>
    <row r="92" ht="18" customHeight="1">
      <c r="A92" s="107" t="inlineStr">
        <is>
          <t>•  Strikethrough: 2 of 29 rivals set a List Price above price; 2 within 12%: ZIMASILK +9%, ZIMASILK +6%.</t>
        </is>
      </c>
    </row>
    <row r="93" ht="30" customHeight="1">
      <c r="A93" s="107" t="inlineStr">
        <is>
          <t>•  Price: 25 of 29 rivals sit below our price today (same size where the title states one). Cheapest strong rivals: ZIMASILK $23.39, ZIMASILK $23.91, PROMEED $24.00, ALASKA BEAR $25.99.</t>
        </is>
      </c>
    </row>
    <row r="94" ht="30" customHeight="1">
      <c r="A94" s="107" t="inlineStr">
        <is>
          <t>•  Strikethrough on the page today (Oct 13 check): 3 of 28 checked rivals show one: ZIMASILK List Price $25.99 vs $23.91 (+9%), ZIMASILK Typical price $24.69 vs $23.39 (+6%), INFIIXSO List Price $9.79 vs $7.99 (+23%).</t>
        </is>
      </c>
    </row>
    <row r="95" ht="30" customHeight="1">
      <c r="A95"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6" ht="30" customHeight="1">
      <c r="A96" s="107" t="inlineStr">
        <is>
          <t>•  Brand ads: INFIIXSO (SB 88%, SBV 50%), ZIMASILK (SB 84%, SBV 81%), PROMEED (SB 27%, SBV 95%), Fishers Finery (SB 96%, SBV 78%), ZIMASILK (SB 92%, SBV 74%) hold Sponsored Brands / video on most of their traffic - the plan has our SB, SBV and display live by Nov 1.</t>
        </is>
      </c>
    </row>
    <row r="97" ht="18" customHeight="1">
      <c r="A97" s="107" t="inlineStr">
        <is>
          <t>•  Our BFCM 2025: 1.35x daily sales in BFCM week vs the 30 days before; TACoS 33.6% vs 31.6% before; December 2.99x.</t>
        </is>
      </c>
    </row>
    <row r="98" ht="18" customHeight="1">
      <c r="A98" s="107" t="inlineStr">
        <is>
          <t>•  Prime Day 2026: our organic visibility 1.30x vs rivals' median 1.17x (n=8) - we held or out-gained rivals.</t>
        </is>
      </c>
    </row>
    <row r="99" ht="30" customHeight="1">
      <c r="A99"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9:BH88"/>
  <mergeCells count="75">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X58:Z58"/>
    <mergeCell ref="A16:BH16"/>
    <mergeCell ref="A54:BH54"/>
    <mergeCell ref="AA58:AQ58"/>
    <mergeCell ref="D4:I4"/>
    <mergeCell ref="L10:Q10"/>
    <mergeCell ref="E12:H12"/>
    <mergeCell ref="Q13:T13"/>
    <mergeCell ref="A90:BH90"/>
    <mergeCell ref="A99:BH99"/>
    <mergeCell ref="D9:I9"/>
    <mergeCell ref="A37:BH37"/>
    <mergeCell ref="U12:X12"/>
    <mergeCell ref="L9:Q9"/>
    <mergeCell ref="Q12:T12"/>
    <mergeCell ref="A11:D11"/>
    <mergeCell ref="A50:BH50"/>
    <mergeCell ref="I11:L11"/>
    <mergeCell ref="A38:C38"/>
    <mergeCell ref="A3:BH3"/>
    <mergeCell ref="L6:Q6"/>
    <mergeCell ref="D8:I8"/>
    <mergeCell ref="A4:B9"/>
    <mergeCell ref="A43:C43"/>
    <mergeCell ref="T6:Y6"/>
    <mergeCell ref="A56:BH56"/>
    <mergeCell ref="A57:BH57"/>
    <mergeCell ref="A95:BH95"/>
    <mergeCell ref="A44:C44"/>
    <mergeCell ref="D5:I5"/>
    <mergeCell ref="AR58:AX58"/>
    <mergeCell ref="A40:C40"/>
    <mergeCell ref="A47:BH47"/>
    <mergeCell ref="M11:P11"/>
    <mergeCell ref="U11:X11"/>
    <mergeCell ref="A39:C39"/>
    <mergeCell ref="A97:BH97"/>
    <mergeCell ref="E13:H13"/>
    <mergeCell ref="A53:BH53"/>
    <mergeCell ref="A91:BH91"/>
    <mergeCell ref="D10:I10"/>
    <mergeCell ref="L7:Q7"/>
    <mergeCell ref="T5:Y5"/>
    <mergeCell ref="A96:BH96"/>
    <mergeCell ref="A45:C45"/>
    <mergeCell ref="A52:BH52"/>
    <mergeCell ref="A12:D12"/>
    <mergeCell ref="M13:P13"/>
    <mergeCell ref="AY58:BH58"/>
    <mergeCell ref="I12:L12"/>
    <mergeCell ref="U13:X13"/>
    <mergeCell ref="A92:BH92"/>
    <mergeCell ref="M12:P12"/>
    <mergeCell ref="A93:BH93"/>
    <mergeCell ref="T4:Y4"/>
    <mergeCell ref="K58:W58"/>
    <mergeCell ref="D6:I6"/>
    <mergeCell ref="E11:H11"/>
    <mergeCell ref="A48:BH48"/>
    <mergeCell ref="A58:H58"/>
  </mergeCells>
  <conditionalFormatting sqref="N60:N88">
    <cfRule type="expression" priority="1" dxfId="1">
      <formula>N60="&lt;=12% STR zone"</formula>
    </cfRule>
  </conditionalFormatting>
  <conditionalFormatting sqref="W60:W88">
    <cfRule type="expression" priority="2" dxfId="0">
      <formula>AND(ISNUMBER(W60),W60&lt;DATE(2026,10,6))</formula>
    </cfRule>
  </conditionalFormatting>
  <conditionalFormatting sqref="Q60:Q88">
    <cfRule type="expression" priority="3" dxfId="0">
      <formula>ISNUMBER(SEARCH("STALE",Q60))</formula>
    </cfRule>
  </conditionalFormatting>
  <conditionalFormatting sqref="P60:P88">
    <cfRule type="expression" priority="4" dxfId="0">
      <formula>AND(ISNUMBER(P60),P60&lt;0)</formula>
    </cfRule>
  </conditionalFormatting>
  <dataValidations count="3">
    <dataValidation sqref="AR60:AR88 BG60:BG88" showDropDown="0" showInputMessage="0" showErrorMessage="0" allowBlank="1" type="list">
      <formula1>"Y,N"</formula1>
    </dataValidation>
    <dataValidation sqref="AS60:AS88" showDropDown="0" showInputMessage="0" showErrorMessage="0" allowBlank="1" type="list">
      <formula1>"List Price,Typical price,Was price,None"</formula1>
    </dataValidation>
    <dataValidation sqref="AY60:AY8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 xmlns:r="http://schemas.openxmlformats.org/officeDocument/2006/relationships" ref="E78" r:id="rId38"/>
    <hyperlink xmlns:r="http://schemas.openxmlformats.org/officeDocument/2006/relationships" ref="F78" r:id="rId39"/>
    <hyperlink xmlns:r="http://schemas.openxmlformats.org/officeDocument/2006/relationships" ref="E79" r:id="rId40"/>
    <hyperlink xmlns:r="http://schemas.openxmlformats.org/officeDocument/2006/relationships" ref="F79" r:id="rId41"/>
    <hyperlink xmlns:r="http://schemas.openxmlformats.org/officeDocument/2006/relationships" ref="E80" r:id="rId42"/>
    <hyperlink xmlns:r="http://schemas.openxmlformats.org/officeDocument/2006/relationships" ref="F80" r:id="rId43"/>
    <hyperlink xmlns:r="http://schemas.openxmlformats.org/officeDocument/2006/relationships" ref="E81" r:id="rId44"/>
    <hyperlink xmlns:r="http://schemas.openxmlformats.org/officeDocument/2006/relationships" ref="F81" r:id="rId45"/>
    <hyperlink xmlns:r="http://schemas.openxmlformats.org/officeDocument/2006/relationships" ref="E82" r:id="rId46"/>
    <hyperlink xmlns:r="http://schemas.openxmlformats.org/officeDocument/2006/relationships" ref="F82" r:id="rId47"/>
    <hyperlink xmlns:r="http://schemas.openxmlformats.org/officeDocument/2006/relationships" ref="E83" r:id="rId48"/>
    <hyperlink xmlns:r="http://schemas.openxmlformats.org/officeDocument/2006/relationships" ref="F83" r:id="rId49"/>
    <hyperlink xmlns:r="http://schemas.openxmlformats.org/officeDocument/2006/relationships" ref="E84" r:id="rId50"/>
    <hyperlink xmlns:r="http://schemas.openxmlformats.org/officeDocument/2006/relationships" ref="F84" r:id="rId51"/>
    <hyperlink xmlns:r="http://schemas.openxmlformats.org/officeDocument/2006/relationships" ref="E85" r:id="rId52"/>
    <hyperlink xmlns:r="http://schemas.openxmlformats.org/officeDocument/2006/relationships" ref="F85" r:id="rId53"/>
    <hyperlink xmlns:r="http://schemas.openxmlformats.org/officeDocument/2006/relationships" ref="E86" r:id="rId54"/>
    <hyperlink xmlns:r="http://schemas.openxmlformats.org/officeDocument/2006/relationships" ref="F86" r:id="rId55"/>
    <hyperlink xmlns:r="http://schemas.openxmlformats.org/officeDocument/2006/relationships" ref="E87" r:id="rId56"/>
    <hyperlink xmlns:r="http://schemas.openxmlformats.org/officeDocument/2006/relationships" ref="F87" r:id="rId57"/>
    <hyperlink xmlns:r="http://schemas.openxmlformats.org/officeDocument/2006/relationships" ref="E88" r:id="rId58"/>
    <hyperlink xmlns:r="http://schemas.openxmlformats.org/officeDocument/2006/relationships" ref="F88"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Silk Sleep Mask - Contoured  ·  Amazon.com (US)  ·  Silk  ·  BFCM role: Gifting  ·  Scope: Other</t>
        </is>
      </c>
    </row>
    <row r="2">
      <c r="A2" s="52" t="inlineStr">
        <is>
          <t>← Dashboard</t>
        </is>
      </c>
    </row>
    <row r="3" ht="20" customHeight="1">
      <c r="A3" s="53"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4" t="inlineStr">
        <is>
          <t>One Size</t>
        </is>
      </c>
      <c r="S4" s="11" t="inlineStr">
        <is>
          <t>Break-even ACoS</t>
        </is>
      </c>
      <c r="T4" s="54" t="inlineStr">
        <is>
          <t>32%</t>
        </is>
      </c>
    </row>
    <row r="5" ht="22" customHeight="1">
      <c r="C5" s="11" t="inlineStr">
        <is>
          <t>Brand</t>
        </is>
      </c>
      <c r="D5" s="54" t="inlineStr">
        <is>
          <t>Sleephoria</t>
        </is>
      </c>
      <c r="K5" s="11" t="inlineStr">
        <is>
          <t>Colours</t>
        </is>
      </c>
      <c r="L5" s="54" t="inlineStr">
        <is>
          <t>Black, Misty Blue, Peacock Blue, Pink</t>
        </is>
      </c>
      <c r="S5" s="11" t="inlineStr">
        <is>
          <t>Units last 28 days</t>
        </is>
      </c>
      <c r="T5" s="54" t="inlineStr">
        <is>
          <t>4</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B0F4XS1FWJ (one of our child ASINs, not the Amazon parent)</t>
        </is>
      </c>
    </row>
    <row r="7" ht="22" customHeight="1">
      <c r="C7" s="11" t="inlineStr">
        <is>
          <t>Parent ASIN (Amazon)</t>
        </is>
      </c>
      <c r="D7" s="54" t="inlineStr">
        <is>
          <t>B0GDML4FK7</t>
        </is>
      </c>
      <c r="K7" s="11" t="inlineStr">
        <is>
          <t>Rating / reviews now</t>
        </is>
      </c>
      <c r="L7" s="54" t="inlineStr">
        <is>
          <t>Not checked yet</t>
        </is>
      </c>
    </row>
    <row r="8" ht="22" customHeight="1">
      <c r="C8" s="11" t="inlineStr">
        <is>
          <t>Best-selling child ASIN</t>
        </is>
      </c>
      <c r="D8" s="54" t="inlineStr">
        <is>
          <t>B0F4XRFWGR</t>
        </is>
      </c>
      <c r="K8" s="11" t="inlineStr">
        <is>
          <t>Live prices held</t>
        </is>
      </c>
      <c r="L8" s="54" t="inlineStr">
        <is>
          <t>0 of 4 variations</t>
        </is>
      </c>
    </row>
    <row r="9" ht="22" customHeight="1">
      <c r="C9" s="11" t="inlineStr">
        <is>
          <t>Stage</t>
        </is>
      </c>
      <c r="D9" s="54" t="inlineStr">
        <is>
          <t>Liquidation</t>
        </is>
      </c>
      <c r="K9" s="11" t="inlineStr">
        <is>
          <t>Blended price (Command Center)</t>
        </is>
      </c>
      <c r="L9" s="54" t="inlineStr">
        <is>
          <t>$25.95 - fee feed as of 2026-03-30, STALE</t>
        </is>
      </c>
    </row>
    <row r="10">
      <c r="C10" s="11" t="inlineStr">
        <is>
          <t>Total variations (SKUs)</t>
        </is>
      </c>
      <c r="D10" s="54" t="n">
        <v>4</v>
      </c>
      <c r="K10" s="11" t="inlineStr">
        <is>
          <t>Contribution / unit</t>
        </is>
      </c>
      <c r="L10" s="54" t="inlineStr">
        <is>
          <t>$8.34</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3.67x</t>
        </is>
      </c>
      <c r="E12" s="56" t="inlineStr">
        <is>
          <t>n/a</t>
        </is>
      </c>
      <c r="I12" s="56" t="inlineStr">
        <is>
          <t>6.58x</t>
        </is>
      </c>
      <c r="M12" s="56" t="inlineStr">
        <is>
          <t>27</t>
        </is>
      </c>
      <c r="Q12" s="56" t="inlineStr">
        <is>
          <t>18</t>
        </is>
      </c>
      <c r="U12" s="56" t="inlineStr">
        <is>
          <t>5</t>
        </is>
      </c>
    </row>
    <row r="13">
      <c r="A13" s="57" t="inlineStr">
        <is>
          <t>daily sales, BFCM wk vs 30 days before (SellerBoard actual)</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(4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0" t="n">
        <v>25.95</v>
      </c>
      <c r="J18" s="61" t="inlineStr">
        <is>
          <t>2026-03-30</t>
        </is>
      </c>
      <c r="K18" s="33" t="n">
        <v>8.34</v>
      </c>
      <c r="L18" s="62" t="n">
        <v>0.3213872832369942</v>
      </c>
      <c r="M18" s="63" t="n">
        <v>4</v>
      </c>
      <c r="N18" s="32" t="inlineStr">
        <is>
          <t>Active</t>
        </is>
      </c>
      <c r="O18" s="32" t="n"/>
      <c r="P18" s="64" t="n"/>
      <c r="Q18" s="63" t="n"/>
      <c r="R18" s="63" t="n"/>
      <c r="S18" s="63"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0" t="n">
        <v>17.95</v>
      </c>
      <c r="J19" s="61" t="inlineStr">
        <is>
          <t>2026-03-30</t>
        </is>
      </c>
      <c r="K19" s="33" t="n">
        <v>1.129999999999999</v>
      </c>
      <c r="L19" s="62" t="n">
        <v>0.06295264623955427</v>
      </c>
      <c r="M19" s="63" t="n">
        <v>0</v>
      </c>
      <c r="N19" s="32" t="inlineStr">
        <is>
          <t>Active</t>
        </is>
      </c>
      <c r="O19" s="32" t="inlineStr">
        <is>
          <t>Yes (53%)</t>
        </is>
      </c>
      <c r="P19" s="64" t="n"/>
      <c r="Q19" s="63" t="n"/>
      <c r="R19" s="63" t="n"/>
      <c r="S19" s="63"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0" t="n">
        <v>17.99</v>
      </c>
      <c r="J20" s="61" t="inlineStr">
        <is>
          <t>2026-03-30</t>
        </is>
      </c>
      <c r="K20" s="33" t="n">
        <v>1.57</v>
      </c>
      <c r="L20" s="62" t="n">
        <v>0.08727070594774877</v>
      </c>
      <c r="M20" s="63" t="n">
        <v>0</v>
      </c>
      <c r="N20" s="32" t="inlineStr">
        <is>
          <t>Active</t>
        </is>
      </c>
      <c r="O20" s="32" t="inlineStr">
        <is>
          <t>Yes (41%)</t>
        </is>
      </c>
      <c r="P20" s="64" t="n"/>
      <c r="Q20" s="63" t="n"/>
      <c r="R20" s="63" t="n"/>
      <c r="S20" s="63"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0" t="n">
        <v>25.95</v>
      </c>
      <c r="J21" s="61" t="inlineStr">
        <is>
          <t>2026-03-30</t>
        </is>
      </c>
      <c r="K21" s="33" t="n">
        <v>8.34</v>
      </c>
      <c r="L21" s="62" t="n">
        <v>0.3213872832369942</v>
      </c>
      <c r="M21" s="63" t="n">
        <v>0</v>
      </c>
      <c r="N21" s="32" t="inlineStr">
        <is>
          <t>Active</t>
        </is>
      </c>
      <c r="O21" s="32" t="n"/>
      <c r="P21" s="64" t="n"/>
      <c r="Q21" s="63" t="n"/>
      <c r="R21" s="63" t="n"/>
      <c r="S21" s="63" t="n"/>
      <c r="T21" s="32" t="n"/>
    </row>
    <row r="23" ht="20" customHeight="1">
      <c r="A23" s="53" t="inlineStr">
        <is>
          <t>3 · OUR BFCM 2025 RESULT &amp; EVENT VISIBILITY</t>
        </is>
      </c>
    </row>
    <row r="24">
      <c r="A24" s="66" t="inlineStr">
        <is>
          <t>Window</t>
        </is>
      </c>
      <c r="B24" s="67" t="n"/>
      <c r="C24" s="68" t="n"/>
      <c r="D24" s="66" t="inlineStr">
        <is>
          <t>Ad spend</t>
        </is>
      </c>
      <c r="E24" s="66" t="inlineStr">
        <is>
          <t>Ad sales</t>
        </is>
      </c>
      <c r="F24" s="66" t="inlineStr">
        <is>
          <t>ACoS</t>
        </is>
      </c>
      <c r="G24" s="66" t="inlineStr">
        <is>
          <t>TACoS</t>
        </is>
      </c>
      <c r="H24" s="66" t="inlineStr">
        <is>
          <t>Total sales (derived)</t>
        </is>
      </c>
      <c r="J24" s="66" t="inlineStr">
        <is>
          <t>Ad orders</t>
        </is>
      </c>
      <c r="K24" s="66" t="inlineStr">
        <is>
          <t>CVR</t>
        </is>
      </c>
    </row>
    <row r="25">
      <c r="A25" s="69" t="inlineStr">
        <is>
          <t>Pre-event Oct 21 - Nov 19, 2025 (30d)</t>
        </is>
      </c>
      <c r="B25" s="67" t="n"/>
      <c r="C25" s="68" t="n"/>
      <c r="D25" s="70" t="n"/>
      <c r="E25" s="70" t="n"/>
      <c r="F25" s="71" t="n"/>
      <c r="G25" s="71" t="n"/>
      <c r="H25" s="70" t="n"/>
      <c r="J25" s="72" t="n"/>
      <c r="K25" s="73" t="n"/>
    </row>
    <row r="26">
      <c r="A26" s="69" t="inlineStr">
        <is>
          <t>BFCM week Nov 20 - Dec 1, 2025 (12d)</t>
        </is>
      </c>
      <c r="B26" s="67" t="n"/>
      <c r="C26" s="68" t="n"/>
      <c r="D26" s="70" t="n"/>
      <c r="E26" s="70" t="n"/>
      <c r="F26" s="71" t="n"/>
      <c r="G26" s="71" t="n"/>
      <c r="H26" s="70" t="n"/>
      <c r="J26" s="72" t="n"/>
      <c r="K26" s="73" t="n"/>
    </row>
    <row r="27">
      <c r="A27" s="69" t="inlineStr">
        <is>
          <t>December 2 - 31, 2025 (30d)</t>
        </is>
      </c>
      <c r="B27" s="67" t="n"/>
      <c r="C27" s="68" t="n"/>
      <c r="D27" s="70" t="n"/>
      <c r="E27" s="70" t="n"/>
      <c r="F27" s="71" t="n"/>
      <c r="G27" s="71" t="n"/>
      <c r="H27" s="70" t="n"/>
      <c r="J27" s="72" t="n"/>
      <c r="K27" s="73" t="n"/>
    </row>
    <row r="29">
      <c r="A29" s="66" t="inlineStr">
        <is>
          <t>Actual sales (SellerBoard)</t>
        </is>
      </c>
      <c r="B29" s="67" t="n"/>
      <c r="C29" s="68" t="n"/>
      <c r="D29" s="66" t="inlineStr">
        <is>
          <t>Sales</t>
        </is>
      </c>
      <c r="E29" s="66" t="inlineStr">
        <is>
          <t>Units</t>
        </is>
      </c>
      <c r="F29" s="66" t="inlineStr">
        <is>
          <t>Organic units</t>
        </is>
      </c>
      <c r="G29" s="66" t="inlineStr">
        <is>
          <t>Ad units</t>
        </is>
      </c>
      <c r="H29" s="66" t="inlineStr">
        <is>
          <t>Ad cost</t>
        </is>
      </c>
      <c r="J29" s="66" t="inlineStr">
        <is>
          <t>TACoS (actual)</t>
        </is>
      </c>
      <c r="K29" s="66" t="inlineStr">
        <is>
          <t>Sessions</t>
        </is>
      </c>
      <c r="L29" s="66" t="inlineStr">
        <is>
          <t>Unit session %</t>
        </is>
      </c>
      <c r="M29" s="66" t="inlineStr">
        <is>
          <t>Avg price</t>
        </is>
      </c>
      <c r="N29" s="66" t="inlineStr">
        <is>
          <t>Refunds</t>
        </is>
      </c>
    </row>
    <row r="30">
      <c r="A30" s="69" t="inlineStr">
        <is>
          <t>Pre-event Oct 21 - Nov 19, 2025 (30d)</t>
        </is>
      </c>
      <c r="B30" s="67" t="n"/>
      <c r="C30" s="68" t="n"/>
      <c r="D30" s="70" t="n">
        <v>59.85</v>
      </c>
      <c r="E30" s="72" t="n">
        <v>3</v>
      </c>
      <c r="F30" s="72" t="n">
        <v>3</v>
      </c>
      <c r="G30" s="72" t="n">
        <v>0</v>
      </c>
      <c r="H30" s="70" t="n">
        <v>0</v>
      </c>
      <c r="J30" s="74" t="n">
        <v>0</v>
      </c>
      <c r="K30" s="72" t="n">
        <v>153</v>
      </c>
      <c r="L30" s="74" t="n">
        <v>0.0196078431372549</v>
      </c>
      <c r="M30" s="75" t="n">
        <v>19.95</v>
      </c>
      <c r="N30" s="72" t="n">
        <v>1</v>
      </c>
    </row>
    <row r="31">
      <c r="A31" s="69" t="inlineStr">
        <is>
          <t>BFCM week Nov 20 - Dec 1, 2025 (12d)</t>
        </is>
      </c>
      <c r="B31" s="67" t="n"/>
      <c r="C31" s="68" t="n"/>
      <c r="D31" s="70" t="n">
        <v>87.78</v>
      </c>
      <c r="E31" s="72" t="n">
        <v>5</v>
      </c>
      <c r="F31" s="72" t="n">
        <v>5</v>
      </c>
      <c r="G31" s="72" t="n">
        <v>0</v>
      </c>
      <c r="H31" s="70" t="n">
        <v>0</v>
      </c>
      <c r="J31" s="74" t="n">
        <v>0</v>
      </c>
      <c r="K31" s="72" t="n">
        <v>99</v>
      </c>
      <c r="L31" s="74" t="n">
        <v>0.0505050505050505</v>
      </c>
      <c r="M31" s="75" t="n">
        <v>17.556</v>
      </c>
      <c r="N31" s="72" t="n">
        <v>0</v>
      </c>
    </row>
    <row r="32">
      <c r="A32" s="69" t="inlineStr">
        <is>
          <t>December 2 - 31, 2025 (30d)</t>
        </is>
      </c>
      <c r="B32" s="67" t="n"/>
      <c r="C32" s="68" t="n"/>
      <c r="D32" s="70" t="n">
        <v>394.05</v>
      </c>
      <c r="E32" s="72" t="n">
        <v>19</v>
      </c>
      <c r="F32" s="72" t="n">
        <v>19</v>
      </c>
      <c r="G32" s="72" t="n">
        <v>0</v>
      </c>
      <c r="H32" s="70" t="n">
        <v>0</v>
      </c>
      <c r="J32" s="74" t="n">
        <v>0</v>
      </c>
      <c r="K32" s="72" t="n">
        <v>169</v>
      </c>
      <c r="L32" s="74" t="n">
        <v>0.1124260355029586</v>
      </c>
      <c r="M32" s="75" t="n">
        <v>20.73947368421053</v>
      </c>
      <c r="N32" s="72" t="n">
        <v>3</v>
      </c>
    </row>
    <row r="33">
      <c r="A33" s="58" t="inlineStr">
        <is>
          <t>SellerBoard, Ecotero account, Amazon parent B0GDML4FK7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6"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8" t="inlineStr">
        <is>
          <t>No Command Center visibility history for our best child ASIN.</t>
        </is>
      </c>
    </row>
    <row r="37">
      <c r="A37" s="111" t="inlineStr">
        <is>
          <t>No BFCM 2025 PPC data for this product (not advertised or launched after BFCM 2025).</t>
        </is>
      </c>
    </row>
    <row r="39" ht="20" customHeight="1">
      <c r="A39" s="53" t="inlineStr">
        <is>
          <t>4 · COMPETITOR LANDSCAPE (27 mapped)</t>
        </is>
      </c>
    </row>
    <row r="40">
      <c r="A40" s="58"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3"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Silk Sleep Mask - Velcro  ·  Amazon.com (US)  ·  Silk  ·  BFCM role: Gifting  ·  Scope: Other</t>
        </is>
      </c>
    </row>
    <row r="2">
      <c r="A2" s="52" t="inlineStr">
        <is>
          <t>← Dashboard</t>
        </is>
      </c>
    </row>
    <row r="3" ht="20" customHeight="1">
      <c r="A3" s="53"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4" t="inlineStr">
        <is>
          <t>One Size</t>
        </is>
      </c>
      <c r="S4" s="11" t="inlineStr">
        <is>
          <t>Break-even ACoS</t>
        </is>
      </c>
      <c r="T4" s="54" t="inlineStr">
        <is>
          <t>29%</t>
        </is>
      </c>
    </row>
    <row r="5" ht="22" customHeight="1">
      <c r="C5" s="11" t="inlineStr">
        <is>
          <t>Brand</t>
        </is>
      </c>
      <c r="D5" s="54" t="inlineStr">
        <is>
          <t>Sleephoria</t>
        </is>
      </c>
      <c r="K5" s="11" t="inlineStr">
        <is>
          <t>Colours</t>
        </is>
      </c>
      <c r="L5" s="54" t="inlineStr">
        <is>
          <t>Black, Misty Blue, Peacock Blue, Pink</t>
        </is>
      </c>
      <c r="S5" s="11" t="inlineStr">
        <is>
          <t>Units last 28 days</t>
        </is>
      </c>
      <c r="T5" s="54" t="inlineStr">
        <is>
          <t>13</t>
        </is>
      </c>
    </row>
    <row r="6" ht="22" customHeight="1">
      <c r="C6" s="11" t="inlineStr">
        <is>
          <t>Marketplace</t>
        </is>
      </c>
      <c r="D6" s="54" t="inlineStr">
        <is>
          <t>Amazon.com (US)</t>
        </is>
      </c>
      <c r="K6" s="11" t="inlineStr">
        <is>
          <t>Price now, best child</t>
        </is>
      </c>
      <c r="L6" s="54" t="inlineStr">
        <is>
          <t>$17.99 (Helium 10 Xray, 2026-10-13)</t>
        </is>
      </c>
      <c r="S6" s="11" t="inlineStr">
        <is>
          <t>Command Center product ASIN</t>
        </is>
      </c>
      <c r="T6" s="54" t="inlineStr">
        <is>
          <t>B0F4XQ7L8Q (one of our child ASINs, not the Amazon parent)</t>
        </is>
      </c>
    </row>
    <row r="7" ht="22" customHeight="1">
      <c r="C7" s="11" t="inlineStr">
        <is>
          <t>Parent ASIN (Amazon)</t>
        </is>
      </c>
      <c r="D7" s="54" t="inlineStr">
        <is>
          <t>B0GDMSK15Z</t>
        </is>
      </c>
      <c r="K7" s="11" t="inlineStr">
        <is>
          <t>Rating / reviews now</t>
        </is>
      </c>
      <c r="L7" s="54" t="inlineStr">
        <is>
          <t>4.5 / 83 (Helium 10 Xray, 2026-10-13)</t>
        </is>
      </c>
    </row>
    <row r="8" ht="22" customHeight="1">
      <c r="C8" s="11" t="inlineStr">
        <is>
          <t>Best-selling child ASIN</t>
        </is>
      </c>
      <c r="D8" s="54" t="inlineStr">
        <is>
          <t>B0F4XQ7L8Q</t>
        </is>
      </c>
      <c r="K8" s="11" t="inlineStr">
        <is>
          <t>Live prices held</t>
        </is>
      </c>
      <c r="L8" s="54" t="inlineStr">
        <is>
          <t>4 of 4 variations</t>
        </is>
      </c>
    </row>
    <row r="9" ht="22" customHeight="1">
      <c r="C9" s="11" t="inlineStr">
        <is>
          <t>Stage</t>
        </is>
      </c>
      <c r="D9" s="54" t="inlineStr">
        <is>
          <t>Launch</t>
        </is>
      </c>
      <c r="K9" s="11" t="inlineStr">
        <is>
          <t>Blended price (Command Center)</t>
        </is>
      </c>
      <c r="L9" s="54" t="inlineStr">
        <is>
          <t>$20.41 - fee feed as of 2026-03-30, STALE</t>
        </is>
      </c>
    </row>
    <row r="10">
      <c r="C10" s="11" t="inlineStr">
        <is>
          <t>Total variations (SKUs)</t>
        </is>
      </c>
      <c r="D10" s="54" t="n">
        <v>4</v>
      </c>
      <c r="K10" s="11" t="inlineStr">
        <is>
          <t>Contribution / unit</t>
        </is>
      </c>
      <c r="L10" s="54" t="inlineStr">
        <is>
          <t>$5.83</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1.00x</t>
        </is>
      </c>
      <c r="E12" s="56" t="inlineStr">
        <is>
          <t>n/a</t>
        </is>
      </c>
      <c r="I12" s="56" t="inlineStr">
        <is>
          <t>1.75x</t>
        </is>
      </c>
      <c r="M12" s="56" t="inlineStr">
        <is>
          <t>15</t>
        </is>
      </c>
      <c r="Q12" s="56" t="inlineStr">
        <is>
          <t>10</t>
        </is>
      </c>
      <c r="U12" s="56" t="inlineStr">
        <is>
          <t>2</t>
        </is>
      </c>
    </row>
    <row r="13">
      <c r="A13" s="57" t="inlineStr">
        <is>
          <t>daily sales, BFCM wk vs 30 days before (SellerBoard actual)</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(4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59" t="n">
        <v>17.99</v>
      </c>
      <c r="H18" s="32" t="inlineStr">
        <is>
          <t>Helium 10 Xray, 2026-10-13</t>
        </is>
      </c>
      <c r="I18" s="60" t="n">
        <v>17.95</v>
      </c>
      <c r="J18" s="61" t="inlineStr">
        <is>
          <t>2026-03-30</t>
        </is>
      </c>
      <c r="K18" s="33" t="n">
        <v>4.309999999999999</v>
      </c>
      <c r="L18" s="62" t="n">
        <v>0.2401114206128133</v>
      </c>
      <c r="M18" s="63" t="n">
        <v>5</v>
      </c>
      <c r="N18" s="32" t="inlineStr">
        <is>
          <t>Active</t>
        </is>
      </c>
      <c r="O18" s="32" t="n"/>
      <c r="P18" s="64" t="n">
        <v>4.5</v>
      </c>
      <c r="Q18" s="63" t="n">
        <v>83</v>
      </c>
      <c r="R18" s="63" t="n">
        <v>309550</v>
      </c>
      <c r="S18" s="63"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59" t="n">
        <v>17.99</v>
      </c>
      <c r="H19" s="32" t="inlineStr">
        <is>
          <t>Helium 10 Xray, 2026-10-13</t>
        </is>
      </c>
      <c r="I19" s="60" t="n">
        <v>25.95</v>
      </c>
      <c r="J19" s="61" t="inlineStr">
        <is>
          <t>2026-03-30</t>
        </is>
      </c>
      <c r="K19" s="33" t="n">
        <v>11.11</v>
      </c>
      <c r="L19" s="62" t="n">
        <v>0.428131021194605</v>
      </c>
      <c r="M19" s="63" t="n">
        <v>4</v>
      </c>
      <c r="N19" s="32" t="inlineStr">
        <is>
          <t>Active</t>
        </is>
      </c>
      <c r="O19" s="32" t="inlineStr">
        <is>
          <t>Yes (19%)</t>
        </is>
      </c>
      <c r="P19" s="64" t="n">
        <v>4.5</v>
      </c>
      <c r="Q19" s="63" t="n">
        <v>83</v>
      </c>
      <c r="R19" s="63" t="n">
        <v>309505</v>
      </c>
      <c r="S19" s="63"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59" t="n">
        <v>17.99</v>
      </c>
      <c r="H20" s="32" t="inlineStr">
        <is>
          <t>Helium 10 Xray, 2026-10-13</t>
        </is>
      </c>
      <c r="I20" s="60" t="n">
        <v>17.95</v>
      </c>
      <c r="J20" s="61" t="inlineStr">
        <is>
          <t>2026-03-30</t>
        </is>
      </c>
      <c r="K20" s="33" t="n">
        <v>1.839999999999998</v>
      </c>
      <c r="L20" s="62" t="n">
        <v>0.1025069637883008</v>
      </c>
      <c r="M20" s="63" t="n">
        <v>3</v>
      </c>
      <c r="N20" s="32" t="inlineStr">
        <is>
          <t>Active</t>
        </is>
      </c>
      <c r="O20" s="32" t="inlineStr">
        <is>
          <t>Yes (74%)</t>
        </is>
      </c>
      <c r="P20" s="64" t="n">
        <v>4.5</v>
      </c>
      <c r="Q20" s="63" t="n">
        <v>83</v>
      </c>
      <c r="R20" s="63" t="n">
        <v>309550</v>
      </c>
      <c r="S20" s="63"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59" t="n">
        <v>17.95</v>
      </c>
      <c r="H21" s="32" t="inlineStr">
        <is>
          <t>Helium 10 Xray, 2026-10-13</t>
        </is>
      </c>
      <c r="I21" s="60" t="n">
        <v>17.95</v>
      </c>
      <c r="J21" s="61" t="inlineStr">
        <is>
          <t>2026-03-30</t>
        </is>
      </c>
      <c r="K21" s="33" t="n">
        <v>4.309999999999999</v>
      </c>
      <c r="L21" s="62" t="n">
        <v>0.2401114206128133</v>
      </c>
      <c r="M21" s="63" t="n">
        <v>1</v>
      </c>
      <c r="N21" s="32" t="inlineStr">
        <is>
          <t>Active</t>
        </is>
      </c>
      <c r="O21" s="32" t="n"/>
      <c r="P21" s="64" t="n">
        <v>4.5</v>
      </c>
      <c r="Q21" s="63" t="n">
        <v>83</v>
      </c>
      <c r="R21" s="63" t="n">
        <v>309550</v>
      </c>
      <c r="S21" s="63" t="n">
        <v>11</v>
      </c>
      <c r="T21" s="32" t="n"/>
    </row>
    <row r="23" ht="20" customHeight="1">
      <c r="A23" s="53" t="inlineStr">
        <is>
          <t>3 · OUR BFCM 2025 RESULT &amp; EVENT VISIBILITY</t>
        </is>
      </c>
    </row>
    <row r="24">
      <c r="A24" s="66" t="inlineStr">
        <is>
          <t>Window</t>
        </is>
      </c>
      <c r="B24" s="67" t="n"/>
      <c r="C24" s="68" t="n"/>
      <c r="D24" s="66" t="inlineStr">
        <is>
          <t>Ad spend</t>
        </is>
      </c>
      <c r="E24" s="66" t="inlineStr">
        <is>
          <t>Ad sales</t>
        </is>
      </c>
      <c r="F24" s="66" t="inlineStr">
        <is>
          <t>ACoS</t>
        </is>
      </c>
      <c r="G24" s="66" t="inlineStr">
        <is>
          <t>TACoS</t>
        </is>
      </c>
      <c r="H24" s="66" t="inlineStr">
        <is>
          <t>Total sales (derived)</t>
        </is>
      </c>
      <c r="J24" s="66" t="inlineStr">
        <is>
          <t>Ad orders</t>
        </is>
      </c>
      <c r="K24" s="66" t="inlineStr">
        <is>
          <t>CVR</t>
        </is>
      </c>
    </row>
    <row r="25">
      <c r="A25" s="69" t="inlineStr">
        <is>
          <t>Pre-event Oct 21 - Nov 19, 2025 (30d)</t>
        </is>
      </c>
      <c r="B25" s="67" t="n"/>
      <c r="C25" s="68" t="n"/>
      <c r="D25" s="70" t="n"/>
      <c r="E25" s="70" t="n"/>
      <c r="F25" s="71" t="n"/>
      <c r="G25" s="71" t="n"/>
      <c r="H25" s="70" t="n"/>
      <c r="J25" s="72" t="n"/>
      <c r="K25" s="73" t="n"/>
    </row>
    <row r="26">
      <c r="A26" s="69" t="inlineStr">
        <is>
          <t>BFCM week Nov 20 - Dec 1, 2025 (12d)</t>
        </is>
      </c>
      <c r="B26" s="67" t="n"/>
      <c r="C26" s="68" t="n"/>
      <c r="D26" s="70" t="n"/>
      <c r="E26" s="70" t="n"/>
      <c r="F26" s="71" t="n"/>
      <c r="G26" s="71" t="n"/>
      <c r="H26" s="70" t="n"/>
      <c r="J26" s="72" t="n"/>
      <c r="K26" s="73" t="n"/>
    </row>
    <row r="27">
      <c r="A27" s="69" t="inlineStr">
        <is>
          <t>December 2 - 31, 2025 (30d)</t>
        </is>
      </c>
      <c r="B27" s="67" t="n"/>
      <c r="C27" s="68" t="n"/>
      <c r="D27" s="70" t="n"/>
      <c r="E27" s="70" t="n"/>
      <c r="F27" s="71" t="n"/>
      <c r="G27" s="71" t="n"/>
      <c r="H27" s="70" t="n"/>
      <c r="J27" s="72" t="n"/>
      <c r="K27" s="73" t="n"/>
    </row>
    <row r="29">
      <c r="A29" s="66" t="inlineStr">
        <is>
          <t>Actual sales (SellerBoard)</t>
        </is>
      </c>
      <c r="B29" s="67" t="n"/>
      <c r="C29" s="68" t="n"/>
      <c r="D29" s="66" t="inlineStr">
        <is>
          <t>Sales</t>
        </is>
      </c>
      <c r="E29" s="66" t="inlineStr">
        <is>
          <t>Units</t>
        </is>
      </c>
      <c r="F29" s="66" t="inlineStr">
        <is>
          <t>Organic units</t>
        </is>
      </c>
      <c r="G29" s="66" t="inlineStr">
        <is>
          <t>Ad units</t>
        </is>
      </c>
      <c r="H29" s="66" t="inlineStr">
        <is>
          <t>Ad cost</t>
        </is>
      </c>
      <c r="J29" s="66" t="inlineStr">
        <is>
          <t>TACoS (actual)</t>
        </is>
      </c>
      <c r="K29" s="66" t="inlineStr">
        <is>
          <t>Sessions</t>
        </is>
      </c>
      <c r="L29" s="66" t="inlineStr">
        <is>
          <t>Unit session %</t>
        </is>
      </c>
      <c r="M29" s="66" t="inlineStr">
        <is>
          <t>Avg price</t>
        </is>
      </c>
      <c r="N29" s="66" t="inlineStr">
        <is>
          <t>Refunds</t>
        </is>
      </c>
    </row>
    <row r="30">
      <c r="A30" s="69" t="inlineStr">
        <is>
          <t>Pre-event Oct 21 - Nov 19, 2025 (30d)</t>
        </is>
      </c>
      <c r="B30" s="67" t="n"/>
      <c r="C30" s="68" t="n"/>
      <c r="D30" s="70" t="n">
        <v>39.9</v>
      </c>
      <c r="E30" s="72" t="n">
        <v>2</v>
      </c>
      <c r="F30" s="72" t="n">
        <v>2</v>
      </c>
      <c r="G30" s="72" t="n">
        <v>0</v>
      </c>
      <c r="H30" s="70" t="n">
        <v>0.9</v>
      </c>
      <c r="J30" s="74" t="n">
        <v>0.02255639097744361</v>
      </c>
      <c r="K30" s="72" t="n">
        <v>46</v>
      </c>
      <c r="L30" s="74" t="n">
        <v>0.04347826086956522</v>
      </c>
      <c r="M30" s="75" t="n">
        <v>19.95</v>
      </c>
      <c r="N30" s="72" t="n">
        <v>0</v>
      </c>
    </row>
    <row r="31">
      <c r="A31" s="69" t="inlineStr">
        <is>
          <t>BFCM week Nov 20 - Dec 1, 2025 (12d)</t>
        </is>
      </c>
      <c r="B31" s="67" t="n"/>
      <c r="C31" s="68" t="n"/>
      <c r="D31" s="70" t="n">
        <v>15.96</v>
      </c>
      <c r="E31" s="72" t="n">
        <v>1</v>
      </c>
      <c r="F31" s="72" t="n">
        <v>1</v>
      </c>
      <c r="G31" s="72" t="n">
        <v>0</v>
      </c>
      <c r="H31" s="70" t="n">
        <v>1.35</v>
      </c>
      <c r="J31" s="74" t="n">
        <v>0.08458646616541353</v>
      </c>
      <c r="K31" s="72" t="n">
        <v>33</v>
      </c>
      <c r="L31" s="74" t="n">
        <v>0.0303030303030303</v>
      </c>
      <c r="M31" s="75" t="n">
        <v>15.96</v>
      </c>
      <c r="N31" s="72" t="n">
        <v>0</v>
      </c>
    </row>
    <row r="32">
      <c r="A32" s="69" t="inlineStr">
        <is>
          <t>December 2 - 31, 2025 (30d)</t>
        </is>
      </c>
      <c r="B32" s="67" t="n"/>
      <c r="C32" s="68" t="n"/>
      <c r="D32" s="70" t="n">
        <v>69.84999999999999</v>
      </c>
      <c r="E32" s="72" t="n">
        <v>3</v>
      </c>
      <c r="F32" s="72" t="n">
        <v>3</v>
      </c>
      <c r="G32" s="72" t="n">
        <v>0</v>
      </c>
      <c r="H32" s="70" t="n">
        <v>1.8</v>
      </c>
      <c r="J32" s="74" t="n">
        <v>0.02576950608446672</v>
      </c>
      <c r="K32" s="72" t="n">
        <v>52</v>
      </c>
      <c r="L32" s="74" t="n">
        <v>0.05769230769230769</v>
      </c>
      <c r="M32" s="75" t="n">
        <v>23.28333333333333</v>
      </c>
      <c r="N32" s="72" t="n">
        <v>0</v>
      </c>
    </row>
    <row r="33">
      <c r="A33" s="58" t="inlineStr">
        <is>
          <t>SellerBoard, Ecotero account, Amazon parent B0GDMSK15Z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6"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8" t="inlineStr">
        <is>
          <t>No Command Center visibility history for our best child ASIN.</t>
        </is>
      </c>
    </row>
    <row r="37">
      <c r="A37" s="111" t="inlineStr">
        <is>
          <t>No BFCM 2025 PPC data for this product (not advertised or launched after BFCM 2025).</t>
        </is>
      </c>
    </row>
    <row r="39" ht="20" customHeight="1">
      <c r="A39" s="53" t="inlineStr">
        <is>
          <t>4 · COMPETITOR LANDSCAPE (15 mapped)</t>
        </is>
      </c>
    </row>
    <row r="40">
      <c r="A40" s="58"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COMING SOON</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3"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Cooling Sheets 4 Piece  ·  Amazon.com (US)  ·  Cooling  ·  BFCM role: Off-season (aged variations only)  ·  Scope: Core</t>
        </is>
      </c>
    </row>
    <row r="2">
      <c r="A2" s="52" t="inlineStr">
        <is>
          <t>← Dashboard</t>
        </is>
      </c>
    </row>
    <row r="3" ht="20" customHeight="1">
      <c r="A3" s="53"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4" t="inlineStr">
        <is>
          <t>California King, Cal King, Full, King, Queen, Twin</t>
        </is>
      </c>
      <c r="S4" s="11" t="inlineStr">
        <is>
          <t>Break-even ACoS</t>
        </is>
      </c>
      <c r="T4" s="54" t="inlineStr">
        <is>
          <t>29%</t>
        </is>
      </c>
    </row>
    <row r="5" ht="22" customHeight="1">
      <c r="C5" s="11" t="inlineStr">
        <is>
          <t>Brand</t>
        </is>
      </c>
      <c r="D5" s="54" t="inlineStr">
        <is>
          <t>Decolure</t>
        </is>
      </c>
      <c r="K5" s="11" t="inlineStr">
        <is>
          <t>Colours</t>
        </is>
      </c>
      <c r="L5" s="54" t="inlineStr">
        <is>
          <t>Beige, Cool Grey, Cream, Graphite, Light Blue, Light Grey, Light Pink, Midnight Black, Navy Blue, Regal Purple, Sage Green, White, Navy Blue-01, Cool Grey-01, White-01, Cream-01</t>
        </is>
      </c>
      <c r="S5" s="11" t="inlineStr">
        <is>
          <t>Units last 28 days</t>
        </is>
      </c>
      <c r="T5" s="54" t="inlineStr">
        <is>
          <t>89</t>
        </is>
      </c>
    </row>
    <row r="6" ht="22" customHeight="1">
      <c r="C6" s="11" t="inlineStr">
        <is>
          <t>Marketplace</t>
        </is>
      </c>
      <c r="D6" s="54" t="inlineStr">
        <is>
          <t>Amazon.com (US)</t>
        </is>
      </c>
      <c r="K6" s="11" t="inlineStr">
        <is>
          <t>Price now, best child</t>
        </is>
      </c>
      <c r="L6" s="54" t="inlineStr">
        <is>
          <t>$37.95 (Helium 10 Xray, 2026-10-13)</t>
        </is>
      </c>
      <c r="S6" s="11" t="inlineStr">
        <is>
          <t>Command Center product ASIN</t>
        </is>
      </c>
      <c r="T6" s="54" t="inlineStr">
        <is>
          <t>B0CWJ2ZQJR (one of our child ASINs, not the Amazon parent)</t>
        </is>
      </c>
    </row>
    <row r="7" ht="22" customHeight="1">
      <c r="C7" s="11" t="inlineStr">
        <is>
          <t>Parent ASIN (Amazon)</t>
        </is>
      </c>
      <c r="D7" s="54" t="inlineStr">
        <is>
          <t>B0HLLHYGLQ</t>
        </is>
      </c>
      <c r="K7" s="11" t="inlineStr">
        <is>
          <t>Rating / reviews now</t>
        </is>
      </c>
      <c r="L7" s="54" t="inlineStr">
        <is>
          <t>4.2 / 1,296 (Helium 10 Xray, 2026-10-13)</t>
        </is>
      </c>
    </row>
    <row r="8" ht="22" customHeight="1">
      <c r="C8" s="11" t="inlineStr">
        <is>
          <t>Best-selling child ASIN</t>
        </is>
      </c>
      <c r="D8" s="54" t="inlineStr">
        <is>
          <t>B0C9LS5H2T</t>
        </is>
      </c>
      <c r="K8" s="11" t="inlineStr">
        <is>
          <t>Live prices held</t>
        </is>
      </c>
      <c r="L8" s="54" t="inlineStr">
        <is>
          <t>38 of 66 variations</t>
        </is>
      </c>
    </row>
    <row r="9" ht="22" customHeight="1">
      <c r="C9" s="11" t="inlineStr">
        <is>
          <t>Stage</t>
        </is>
      </c>
      <c r="D9" s="54" t="inlineStr">
        <is>
          <t>Re-Launch</t>
        </is>
      </c>
      <c r="K9" s="11" t="inlineStr">
        <is>
          <t>Blended price (Command Center)</t>
        </is>
      </c>
      <c r="L9" s="54" t="inlineStr">
        <is>
          <t>$40.33 - fee feed as of 2026-03-30, STALE</t>
        </is>
      </c>
    </row>
    <row r="10">
      <c r="C10" s="11" t="inlineStr">
        <is>
          <t>Total variations (SKUs)</t>
        </is>
      </c>
      <c r="D10" s="54" t="n">
        <v>61</v>
      </c>
      <c r="K10" s="11" t="inlineStr">
        <is>
          <t>Contribution / unit</t>
        </is>
      </c>
      <c r="L10" s="54" t="inlineStr">
        <is>
          <t>$11.54</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1.63x</t>
        </is>
      </c>
      <c r="E12" s="56" t="inlineStr">
        <is>
          <t>6.8%</t>
        </is>
      </c>
      <c r="I12" s="56" t="inlineStr">
        <is>
          <t>1.81x</t>
        </is>
      </c>
      <c r="M12" s="56" t="inlineStr">
        <is>
          <t>28</t>
        </is>
      </c>
      <c r="Q12" s="56" t="inlineStr">
        <is>
          <t>4</t>
        </is>
      </c>
      <c r="U12" s="56" t="inlineStr">
        <is>
          <t>1</t>
        </is>
      </c>
    </row>
    <row r="13">
      <c r="A13" s="57" t="inlineStr">
        <is>
          <t>daily sales, BFCM wk vs 30 days before (SellerBoard actual)</t>
        </is>
      </c>
      <c r="E13" s="57" t="inlineStr">
        <is>
          <t>vs 5.1%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(66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59" t="n">
        <v>37.95</v>
      </c>
      <c r="H18" s="32" t="inlineStr">
        <is>
          <t>Helium 10 Xray, 2026-10-13</t>
        </is>
      </c>
      <c r="I18" s="60" t="n">
        <v>37.95</v>
      </c>
      <c r="J18" s="61" t="inlineStr">
        <is>
          <t>2026-03-30</t>
        </is>
      </c>
      <c r="K18" s="33" t="n">
        <v>8.100000000000005</v>
      </c>
      <c r="L18" s="62" t="n">
        <v>0.2134387351778657</v>
      </c>
      <c r="M18" s="63" t="n">
        <v>16</v>
      </c>
      <c r="N18" s="32" t="inlineStr">
        <is>
          <t>Active</t>
        </is>
      </c>
      <c r="O18" s="32" t="inlineStr">
        <is>
          <t>Yes (21%)</t>
        </is>
      </c>
      <c r="P18" s="64" t="n">
        <v>4.2</v>
      </c>
      <c r="Q18" s="63" t="n">
        <v>1296</v>
      </c>
      <c r="R18" s="63" t="n">
        <v>341774</v>
      </c>
      <c r="S18" s="63"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59" t="n">
        <v>37.95</v>
      </c>
      <c r="H19" s="32" t="inlineStr">
        <is>
          <t>Helium 10 Xray, 2026-10-13</t>
        </is>
      </c>
      <c r="I19" s="60" t="n">
        <v>37.95</v>
      </c>
      <c r="J19" s="61" t="inlineStr">
        <is>
          <t>2026-03-30</t>
        </is>
      </c>
      <c r="K19" s="33" t="n">
        <v>10.20000000000001</v>
      </c>
      <c r="L19" s="62" t="n">
        <v>0.2687747035573124</v>
      </c>
      <c r="M19" s="63" t="n">
        <v>13</v>
      </c>
      <c r="N19" s="32" t="inlineStr">
        <is>
          <t>Active</t>
        </is>
      </c>
      <c r="O19" s="32" t="inlineStr">
        <is>
          <t>Yes (34%)</t>
        </is>
      </c>
      <c r="P19" s="64" t="n">
        <v>4.2</v>
      </c>
      <c r="Q19" s="63" t="n">
        <v>1296</v>
      </c>
      <c r="R19" s="63" t="n">
        <v>341774</v>
      </c>
      <c r="S19" s="63"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59" t="n">
        <v>37.95</v>
      </c>
      <c r="H20" s="32" t="inlineStr">
        <is>
          <t>Helium 10 Xray, 2026-10-13</t>
        </is>
      </c>
      <c r="I20" s="60" t="n">
        <v>37.95</v>
      </c>
      <c r="J20" s="61" t="inlineStr">
        <is>
          <t>2026-03-30</t>
        </is>
      </c>
      <c r="K20" s="33" t="n">
        <v>10.21000000000001</v>
      </c>
      <c r="L20" s="62" t="n">
        <v>0.2690382081686431</v>
      </c>
      <c r="M20" s="63" t="n">
        <v>10</v>
      </c>
      <c r="N20" s="32" t="inlineStr">
        <is>
          <t>Active</t>
        </is>
      </c>
      <c r="O20" s="32" t="n"/>
      <c r="P20" s="64" t="n">
        <v>4.2</v>
      </c>
      <c r="Q20" s="63" t="n">
        <v>1296</v>
      </c>
      <c r="R20" s="63" t="n">
        <v>341774</v>
      </c>
      <c r="S20" s="63"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59" t="n">
        <v>37.95</v>
      </c>
      <c r="H21" s="32" t="inlineStr">
        <is>
          <t>Helium 10 Xray, 2026-10-13</t>
        </is>
      </c>
      <c r="I21" s="60" t="n">
        <v>49.95</v>
      </c>
      <c r="J21" s="61" t="inlineStr">
        <is>
          <t>2026-03-30</t>
        </is>
      </c>
      <c r="K21" s="33" t="n">
        <v>20.63</v>
      </c>
      <c r="L21" s="62" t="n">
        <v>0.413013013013013</v>
      </c>
      <c r="M21" s="63" t="n">
        <v>9</v>
      </c>
      <c r="N21" s="32" t="inlineStr">
        <is>
          <t>Active</t>
        </is>
      </c>
      <c r="O21" s="32" t="n"/>
      <c r="P21" s="64" t="n">
        <v>4.2</v>
      </c>
      <c r="Q21" s="63" t="n">
        <v>1296</v>
      </c>
      <c r="R21" s="63" t="n">
        <v>341774</v>
      </c>
      <c r="S21" s="63"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59" t="n">
        <v>37.95</v>
      </c>
      <c r="H22" s="32" t="inlineStr">
        <is>
          <t>Helium 10 Xray, 2026-10-13</t>
        </is>
      </c>
      <c r="I22" s="60" t="n">
        <v>37.95</v>
      </c>
      <c r="J22" s="61" t="inlineStr">
        <is>
          <t>2026-03-30</t>
        </is>
      </c>
      <c r="K22" s="33" t="n">
        <v>10.18000000000001</v>
      </c>
      <c r="L22" s="62" t="n">
        <v>0.268247694334651</v>
      </c>
      <c r="M22" s="63" t="n">
        <v>8</v>
      </c>
      <c r="N22" s="32" t="inlineStr">
        <is>
          <t>Active</t>
        </is>
      </c>
      <c r="O22" s="32" t="n"/>
      <c r="P22" s="64" t="n">
        <v>4.2</v>
      </c>
      <c r="Q22" s="63" t="n">
        <v>1296</v>
      </c>
      <c r="R22" s="63" t="n">
        <v>341774</v>
      </c>
      <c r="S22" s="63"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59" t="n">
        <v>39.95</v>
      </c>
      <c r="H23" s="32" t="inlineStr">
        <is>
          <t>Helium 10 Xray, 2026-10-13</t>
        </is>
      </c>
      <c r="I23" s="60" t="n">
        <v>39.95</v>
      </c>
      <c r="J23" s="61" t="inlineStr">
        <is>
          <t>2026-03-30</t>
        </is>
      </c>
      <c r="K23" s="33" t="n">
        <v>9.740000000000002</v>
      </c>
      <c r="L23" s="62" t="n">
        <v>0.2438047559449312</v>
      </c>
      <c r="M23" s="63" t="n">
        <v>7</v>
      </c>
      <c r="N23" s="32" t="inlineStr">
        <is>
          <t>Active</t>
        </is>
      </c>
      <c r="O23" s="32" t="n"/>
      <c r="P23" s="64" t="n">
        <v>4.2</v>
      </c>
      <c r="Q23" s="63" t="n">
        <v>1296</v>
      </c>
      <c r="R23" s="63" t="n">
        <v>341774</v>
      </c>
      <c r="S23" s="63"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59" t="n">
        <v>39.95</v>
      </c>
      <c r="H24" s="32" t="inlineStr">
        <is>
          <t>Helium 10 Xray, 2026-10-13</t>
        </is>
      </c>
      <c r="I24" s="60" t="n">
        <v>45.95</v>
      </c>
      <c r="J24" s="61" t="inlineStr">
        <is>
          <t>2026-03-30</t>
        </is>
      </c>
      <c r="K24" s="33" t="n">
        <v>15.06</v>
      </c>
      <c r="L24" s="62" t="n">
        <v>0.3277475516866159</v>
      </c>
      <c r="M24" s="63" t="n">
        <v>4</v>
      </c>
      <c r="N24" s="32" t="inlineStr">
        <is>
          <t>Active</t>
        </is>
      </c>
      <c r="O24" s="32" t="inlineStr">
        <is>
          <t>Yes (6%)</t>
        </is>
      </c>
      <c r="P24" s="64" t="n">
        <v>4.2</v>
      </c>
      <c r="Q24" s="63" t="n">
        <v>1296</v>
      </c>
      <c r="R24" s="63" t="n">
        <v>341774</v>
      </c>
      <c r="S24" s="63"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59" t="n">
        <v>39.95</v>
      </c>
      <c r="H25" s="32" t="inlineStr">
        <is>
          <t>Helium 10 Xray, 2026-10-13</t>
        </is>
      </c>
      <c r="I25" s="60" t="n">
        <v>39.95</v>
      </c>
      <c r="J25" s="61" t="inlineStr">
        <is>
          <t>2026-03-30</t>
        </is>
      </c>
      <c r="K25" s="33" t="n">
        <v>9.73</v>
      </c>
      <c r="L25" s="62" t="n">
        <v>0.2435544430538173</v>
      </c>
      <c r="M25" s="63" t="n">
        <v>3</v>
      </c>
      <c r="N25" s="32" t="inlineStr">
        <is>
          <t>Active</t>
        </is>
      </c>
      <c r="O25" s="32" t="n"/>
      <c r="P25" s="64" t="n">
        <v>4.2</v>
      </c>
      <c r="Q25" s="63" t="n">
        <v>1296</v>
      </c>
      <c r="R25" s="63" t="n">
        <v>341774</v>
      </c>
      <c r="S25" s="63"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59" t="n">
        <v>39.95</v>
      </c>
      <c r="H26" s="32" t="inlineStr">
        <is>
          <t>Helium 10 Xray, 2026-10-13</t>
        </is>
      </c>
      <c r="I26" s="60" t="n">
        <v>45.95</v>
      </c>
      <c r="J26" s="61" t="inlineStr">
        <is>
          <t>2026-03-30</t>
        </is>
      </c>
      <c r="K26" s="33" t="n">
        <v>14.73</v>
      </c>
      <c r="L26" s="62" t="n">
        <v>0.3205658324265506</v>
      </c>
      <c r="M26" s="63" t="n">
        <v>2</v>
      </c>
      <c r="N26" s="32" t="inlineStr">
        <is>
          <t>Active</t>
        </is>
      </c>
      <c r="O26" s="32" t="n"/>
      <c r="P26" s="64" t="n">
        <v>4.2</v>
      </c>
      <c r="Q26" s="63" t="n">
        <v>1296</v>
      </c>
      <c r="R26" s="63" t="n">
        <v>341774</v>
      </c>
      <c r="S26" s="63"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0" t="n">
        <v>35.95</v>
      </c>
      <c r="J27" s="61" t="inlineStr">
        <is>
          <t>2026-03-30</t>
        </is>
      </c>
      <c r="K27" s="33" t="n"/>
      <c r="L27" s="62" t="n"/>
      <c r="M27" s="63" t="n">
        <v>2</v>
      </c>
      <c r="N27" s="32" t="inlineStr">
        <is>
          <t>Inactive</t>
        </is>
      </c>
      <c r="O27" s="32" t="n"/>
      <c r="P27" s="64" t="n"/>
      <c r="Q27" s="63" t="n"/>
      <c r="R27" s="63" t="n"/>
      <c r="S27" s="63"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59" t="n">
        <v>35.95</v>
      </c>
      <c r="H28" s="32" t="inlineStr">
        <is>
          <t>Helium 10 Xray, 2026-10-13</t>
        </is>
      </c>
      <c r="I28" s="60" t="n">
        <v>43.95</v>
      </c>
      <c r="J28" s="61" t="inlineStr">
        <is>
          <t>2026-03-30</t>
        </is>
      </c>
      <c r="K28" s="33" t="n">
        <v>16.07</v>
      </c>
      <c r="L28" s="62" t="n">
        <v>0.3656427758816838</v>
      </c>
      <c r="M28" s="63" t="n">
        <v>2</v>
      </c>
      <c r="N28" s="32" t="inlineStr">
        <is>
          <t>Active</t>
        </is>
      </c>
      <c r="O28" s="32" t="n"/>
      <c r="P28" s="64" t="n">
        <v>4.2</v>
      </c>
      <c r="Q28" s="63" t="n">
        <v>1296</v>
      </c>
      <c r="R28" s="63" t="n">
        <v>341774</v>
      </c>
      <c r="S28" s="63"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59" t="n">
        <v>39.95</v>
      </c>
      <c r="H29" s="32" t="inlineStr">
        <is>
          <t>Helium 10 Xray, 2026-10-13</t>
        </is>
      </c>
      <c r="I29" s="60" t="n">
        <v>39.95</v>
      </c>
      <c r="J29" s="61" t="inlineStr">
        <is>
          <t>2026-03-30</t>
        </is>
      </c>
      <c r="K29" s="33" t="n">
        <v>8.719999999999999</v>
      </c>
      <c r="L29" s="62" t="n">
        <v>0.2182728410513141</v>
      </c>
      <c r="M29" s="63" t="n">
        <v>2</v>
      </c>
      <c r="N29" s="32" t="inlineStr">
        <is>
          <t>Active</t>
        </is>
      </c>
      <c r="O29" s="32" t="n"/>
      <c r="P29" s="64" t="n">
        <v>4.2</v>
      </c>
      <c r="Q29" s="63" t="n">
        <v>1296</v>
      </c>
      <c r="R29" s="63" t="n">
        <v>341774</v>
      </c>
      <c r="S29" s="63"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59" t="n">
        <v>33.95</v>
      </c>
      <c r="H30" s="32" t="inlineStr">
        <is>
          <t>Helium 10 Xray, 2026-10-13</t>
        </is>
      </c>
      <c r="I30" s="60" t="n">
        <v>39.95</v>
      </c>
      <c r="J30" s="61" t="inlineStr">
        <is>
          <t>2026-03-30</t>
        </is>
      </c>
      <c r="K30" s="33" t="n">
        <v>16.78</v>
      </c>
      <c r="L30" s="62" t="n">
        <v>0.4200250312891114</v>
      </c>
      <c r="M30" s="63" t="n">
        <v>2</v>
      </c>
      <c r="N30" s="32" t="inlineStr">
        <is>
          <t>Active</t>
        </is>
      </c>
      <c r="O30" s="32" t="n"/>
      <c r="P30" s="64" t="n">
        <v>4.2</v>
      </c>
      <c r="Q30" s="63" t="n">
        <v>1296</v>
      </c>
      <c r="R30" s="63" t="n">
        <v>341774</v>
      </c>
      <c r="S30" s="63"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59" t="n">
        <v>39.95</v>
      </c>
      <c r="H31" s="32" t="inlineStr">
        <is>
          <t>Helium 10 Xray, 2026-10-13</t>
        </is>
      </c>
      <c r="I31" s="60" t="n">
        <v>39.95</v>
      </c>
      <c r="J31" s="61" t="inlineStr">
        <is>
          <t>2026-03-30</t>
        </is>
      </c>
      <c r="K31" s="33" t="n">
        <v>8.690000000000001</v>
      </c>
      <c r="L31" s="62" t="n">
        <v>0.2175219023779725</v>
      </c>
      <c r="M31" s="63" t="n">
        <v>1</v>
      </c>
      <c r="N31" s="32" t="inlineStr">
        <is>
          <t>Active</t>
        </is>
      </c>
      <c r="O31" s="32" t="n"/>
      <c r="P31" s="64" t="n">
        <v>4.2</v>
      </c>
      <c r="Q31" s="63" t="n">
        <v>1296</v>
      </c>
      <c r="R31" s="63" t="n">
        <v>341774</v>
      </c>
      <c r="S31" s="63"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59" t="n">
        <v>35.95</v>
      </c>
      <c r="H32" s="32" t="inlineStr">
        <is>
          <t>Helium 10 Xray, 2026-10-13</t>
        </is>
      </c>
      <c r="I32" s="60" t="n">
        <v>35.95</v>
      </c>
      <c r="J32" s="61" t="inlineStr">
        <is>
          <t>2026-03-30</t>
        </is>
      </c>
      <c r="K32" s="33" t="n">
        <v>6.550000000000001</v>
      </c>
      <c r="L32" s="62" t="n">
        <v>0.1821974965229486</v>
      </c>
      <c r="M32" s="63" t="n">
        <v>1</v>
      </c>
      <c r="N32" s="32" t="inlineStr">
        <is>
          <t>Active</t>
        </is>
      </c>
      <c r="O32" s="32" t="n"/>
      <c r="P32" s="64" t="n">
        <v>4.2</v>
      </c>
      <c r="Q32" s="63" t="n">
        <v>1296</v>
      </c>
      <c r="R32" s="63" t="n">
        <v>341774</v>
      </c>
      <c r="S32" s="63"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59" t="n">
        <v>35.95</v>
      </c>
      <c r="H33" s="32" t="inlineStr">
        <is>
          <t>Helium 10 Xray, 2026-10-13</t>
        </is>
      </c>
      <c r="I33" s="60" t="n">
        <v>35.95</v>
      </c>
      <c r="J33" s="61" t="inlineStr">
        <is>
          <t>2026-03-30</t>
        </is>
      </c>
      <c r="K33" s="33" t="n"/>
      <c r="L33" s="62" t="n"/>
      <c r="M33" s="63" t="n">
        <v>1</v>
      </c>
      <c r="N33" s="32" t="inlineStr">
        <is>
          <t>Active</t>
        </is>
      </c>
      <c r="O33" s="32" t="n"/>
      <c r="P33" s="64" t="n">
        <v>4.2</v>
      </c>
      <c r="Q33" s="63" t="n">
        <v>1296</v>
      </c>
      <c r="R33" s="63" t="n">
        <v>341774</v>
      </c>
      <c r="S33" s="63"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0" t="n">
        <v>35.95</v>
      </c>
      <c r="J34" s="61" t="inlineStr">
        <is>
          <t>2026-03-30</t>
        </is>
      </c>
      <c r="K34" s="33" t="n">
        <v>8.820000000000002</v>
      </c>
      <c r="L34" s="62" t="n">
        <v>0.2453407510431155</v>
      </c>
      <c r="M34" s="63" t="n">
        <v>1</v>
      </c>
      <c r="N34" s="32" t="inlineStr">
        <is>
          <t>Active</t>
        </is>
      </c>
      <c r="O34" s="32" t="n"/>
      <c r="P34" s="64" t="n"/>
      <c r="Q34" s="63" t="n"/>
      <c r="R34" s="63" t="n"/>
      <c r="S34" s="63"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59" t="n">
        <v>35.95</v>
      </c>
      <c r="H35" s="32" t="inlineStr">
        <is>
          <t>Helium 10 Xray, 2026-10-13</t>
        </is>
      </c>
      <c r="I35" s="60" t="n">
        <v>35.95</v>
      </c>
      <c r="J35" s="61" t="inlineStr">
        <is>
          <t>2026-03-30</t>
        </is>
      </c>
      <c r="K35" s="33" t="n">
        <v>9.180000000000001</v>
      </c>
      <c r="L35" s="62" t="n">
        <v>0.2553546592489569</v>
      </c>
      <c r="M35" s="63" t="n">
        <v>1</v>
      </c>
      <c r="N35" s="32" t="inlineStr">
        <is>
          <t>Active</t>
        </is>
      </c>
      <c r="O35" s="32" t="n"/>
      <c r="P35" s="64" t="n">
        <v>4.2</v>
      </c>
      <c r="Q35" s="63" t="n">
        <v>1296</v>
      </c>
      <c r="R35" s="63" t="n">
        <v>341774</v>
      </c>
      <c r="S35" s="63"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59" t="n">
        <v>35.95</v>
      </c>
      <c r="H36" s="32" t="inlineStr">
        <is>
          <t>Helium 10 Xray, 2026-10-13</t>
        </is>
      </c>
      <c r="I36" s="60" t="n">
        <v>41.95</v>
      </c>
      <c r="J36" s="61" t="inlineStr">
        <is>
          <t>2026-03-30</t>
        </is>
      </c>
      <c r="K36" s="33" t="n">
        <v>12.59</v>
      </c>
      <c r="L36" s="62" t="n">
        <v>0.300119189511323</v>
      </c>
      <c r="M36" s="63" t="n">
        <v>1</v>
      </c>
      <c r="N36" s="32" t="inlineStr">
        <is>
          <t>Active</t>
        </is>
      </c>
      <c r="O36" s="32" t="n"/>
      <c r="P36" s="64" t="n">
        <v>4.2</v>
      </c>
      <c r="Q36" s="63" t="n">
        <v>1296</v>
      </c>
      <c r="R36" s="63" t="n">
        <v>341774</v>
      </c>
      <c r="S36" s="63"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59" t="n">
        <v>37.95</v>
      </c>
      <c r="H37" s="32" t="inlineStr">
        <is>
          <t>Helium 10 Xray, 2026-10-13</t>
        </is>
      </c>
      <c r="I37" s="33" t="n"/>
      <c r="J37" s="32" t="n"/>
      <c r="K37" s="33" t="n"/>
      <c r="L37" s="62" t="n"/>
      <c r="M37" s="63" t="n">
        <v>1</v>
      </c>
      <c r="N37" s="32" t="inlineStr">
        <is>
          <t>Active</t>
        </is>
      </c>
      <c r="O37" s="32" t="n"/>
      <c r="P37" s="64" t="n">
        <v>4.2</v>
      </c>
      <c r="Q37" s="63" t="n">
        <v>1296</v>
      </c>
      <c r="R37" s="63" t="n">
        <v>341774</v>
      </c>
      <c r="S37" s="63"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59" t="n">
        <v>33.95</v>
      </c>
      <c r="H38" s="32" t="inlineStr">
        <is>
          <t>Helium 10 Xray, 2026-10-13</t>
        </is>
      </c>
      <c r="I38" s="60" t="n">
        <v>40.95</v>
      </c>
      <c r="J38" s="61" t="inlineStr">
        <is>
          <t>2026-03-30</t>
        </is>
      </c>
      <c r="K38" s="33" t="n">
        <v>17.03</v>
      </c>
      <c r="L38" s="62" t="n">
        <v>0.4158730158730159</v>
      </c>
      <c r="M38" s="63" t="n">
        <v>1</v>
      </c>
      <c r="N38" s="32" t="inlineStr">
        <is>
          <t>Active</t>
        </is>
      </c>
      <c r="O38" s="32" t="n"/>
      <c r="P38" s="64" t="n">
        <v>4.2</v>
      </c>
      <c r="Q38" s="63" t="n">
        <v>1296</v>
      </c>
      <c r="R38" s="63" t="n">
        <v>341790</v>
      </c>
      <c r="S38" s="63"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59" t="n">
        <v>33.95</v>
      </c>
      <c r="H39" s="32" t="inlineStr">
        <is>
          <t>Helium 10 Xray, 2026-10-13</t>
        </is>
      </c>
      <c r="I39" s="60" t="n">
        <v>40.95</v>
      </c>
      <c r="J39" s="61" t="inlineStr">
        <is>
          <t>2026-03-30</t>
        </is>
      </c>
      <c r="K39" s="33" t="n">
        <v>16.59</v>
      </c>
      <c r="L39" s="62" t="n">
        <v>0.4051282051282052</v>
      </c>
      <c r="M39" s="63" t="n">
        <v>1</v>
      </c>
      <c r="N39" s="32" t="inlineStr">
        <is>
          <t>Active</t>
        </is>
      </c>
      <c r="O39" s="32" t="n"/>
      <c r="P39" s="64" t="n">
        <v>4.2</v>
      </c>
      <c r="Q39" s="63" t="n">
        <v>1296</v>
      </c>
      <c r="R39" s="63" t="n">
        <v>341774</v>
      </c>
      <c r="S39" s="63"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59" t="n">
        <v>39.95</v>
      </c>
      <c r="H40" s="32" t="inlineStr">
        <is>
          <t>Helium 10 Xray, 2026-10-13</t>
        </is>
      </c>
      <c r="I40" s="33" t="n"/>
      <c r="J40" s="32" t="n"/>
      <c r="K40" s="33" t="n"/>
      <c r="L40" s="62" t="n"/>
      <c r="M40" s="63" t="n">
        <v>0</v>
      </c>
      <c r="N40" s="32" t="inlineStr">
        <is>
          <t>Active</t>
        </is>
      </c>
      <c r="O40" s="32" t="n"/>
      <c r="P40" s="64" t="n">
        <v>3</v>
      </c>
      <c r="Q40" s="63" t="n">
        <v>15</v>
      </c>
      <c r="R40" s="63" t="n">
        <v>980806</v>
      </c>
      <c r="S40" s="63" t="n">
        <v>0</v>
      </c>
      <c r="T40" s="65"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59" t="n">
        <v>39.95</v>
      </c>
      <c r="H41" s="32" t="inlineStr">
        <is>
          <t>Helium 10 Xray, 2026-10-13</t>
        </is>
      </c>
      <c r="I41" s="60" t="n">
        <v>39.95</v>
      </c>
      <c r="J41" s="61" t="inlineStr">
        <is>
          <t>2026-03-30</t>
        </is>
      </c>
      <c r="K41" s="33" t="n">
        <v>9.629999999999999</v>
      </c>
      <c r="L41" s="62" t="n">
        <v>0.2410513141426783</v>
      </c>
      <c r="M41" s="63" t="n">
        <v>0</v>
      </c>
      <c r="N41" s="32" t="inlineStr">
        <is>
          <t>Active</t>
        </is>
      </c>
      <c r="O41" s="32" t="n"/>
      <c r="P41" s="64" t="n">
        <v>4.2</v>
      </c>
      <c r="Q41" s="63" t="n">
        <v>1296</v>
      </c>
      <c r="R41" s="63" t="n">
        <v>341774</v>
      </c>
      <c r="S41" s="63"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59" t="n">
        <v>39.95</v>
      </c>
      <c r="H42" s="32" t="inlineStr">
        <is>
          <t>Helium 10 Xray, 2026-10-13</t>
        </is>
      </c>
      <c r="I42" s="60" t="n">
        <v>47.95</v>
      </c>
      <c r="J42" s="61" t="inlineStr">
        <is>
          <t>2026-03-30</t>
        </is>
      </c>
      <c r="K42" s="33" t="n">
        <v>16.68</v>
      </c>
      <c r="L42" s="62" t="n">
        <v>0.3478623566214807</v>
      </c>
      <c r="M42" s="63" t="n">
        <v>0</v>
      </c>
      <c r="N42" s="32" t="inlineStr">
        <is>
          <t>Active</t>
        </is>
      </c>
      <c r="O42" s="32" t="inlineStr">
        <is>
          <t>Yes (3%)</t>
        </is>
      </c>
      <c r="P42" s="64" t="n">
        <v>4.2</v>
      </c>
      <c r="Q42" s="63" t="n">
        <v>1296</v>
      </c>
      <c r="R42" s="63" t="n">
        <v>341774</v>
      </c>
      <c r="S42" s="63"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59" t="n">
        <v>39.95</v>
      </c>
      <c r="H43" s="32" t="inlineStr">
        <is>
          <t>Helium 10 Xray, 2026-10-13</t>
        </is>
      </c>
      <c r="I43" s="60" t="n">
        <v>44.95</v>
      </c>
      <c r="J43" s="61" t="inlineStr">
        <is>
          <t>2026-03-30</t>
        </is>
      </c>
      <c r="K43" s="33" t="n">
        <v>13.59</v>
      </c>
      <c r="L43" s="62" t="n">
        <v>0.3023359288097887</v>
      </c>
      <c r="M43" s="63" t="n">
        <v>0</v>
      </c>
      <c r="N43" s="32" t="inlineStr">
        <is>
          <t>Active</t>
        </is>
      </c>
      <c r="O43" s="32" t="n"/>
      <c r="P43" s="64" t="n">
        <v>4.2</v>
      </c>
      <c r="Q43" s="63" t="n">
        <v>1296</v>
      </c>
      <c r="R43" s="63" t="n">
        <v>341774</v>
      </c>
      <c r="S43" s="63"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59" t="n">
        <v>39.95</v>
      </c>
      <c r="H44" s="32" t="inlineStr">
        <is>
          <t>Helium 10 Xray, 2026-10-13</t>
        </is>
      </c>
      <c r="I44" s="60" t="n">
        <v>39.95</v>
      </c>
      <c r="J44" s="61" t="inlineStr">
        <is>
          <t>2026-03-30</t>
        </is>
      </c>
      <c r="K44" s="33" t="n">
        <v>9.590000000000003</v>
      </c>
      <c r="L44" s="62" t="n">
        <v>0.2400500625782228</v>
      </c>
      <c r="M44" s="63" t="n">
        <v>0</v>
      </c>
      <c r="N44" s="32" t="inlineStr">
        <is>
          <t>Active</t>
        </is>
      </c>
      <c r="O44" s="32" t="n"/>
      <c r="P44" s="64" t="n">
        <v>3</v>
      </c>
      <c r="Q44" s="63" t="n">
        <v>15</v>
      </c>
      <c r="R44" s="63" t="n">
        <v>980806</v>
      </c>
      <c r="S44" s="63" t="n">
        <v>0</v>
      </c>
      <c r="T44" s="65"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0" t="n">
        <v>39.95</v>
      </c>
      <c r="J45" s="61" t="inlineStr">
        <is>
          <t>2026-03-30</t>
        </is>
      </c>
      <c r="K45" s="33" t="n">
        <v>8.690000000000001</v>
      </c>
      <c r="L45" s="62" t="n">
        <v>0.2175219023779725</v>
      </c>
      <c r="M45" s="63" t="n"/>
      <c r="N45" s="32" t="inlineStr">
        <is>
          <t>Inactive</t>
        </is>
      </c>
      <c r="O45" s="32" t="n"/>
      <c r="P45" s="64" t="n"/>
      <c r="Q45" s="63" t="n"/>
      <c r="R45" s="63" t="n"/>
      <c r="S45" s="63"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59" t="n">
        <v>39.95</v>
      </c>
      <c r="H46" s="32" t="inlineStr">
        <is>
          <t>Helium 10 Xray, 2026-10-13</t>
        </is>
      </c>
      <c r="I46" s="60" t="n">
        <v>49.95</v>
      </c>
      <c r="J46" s="61" t="inlineStr">
        <is>
          <t>2026-03-30</t>
        </is>
      </c>
      <c r="K46" s="33" t="n">
        <v>17.11</v>
      </c>
      <c r="L46" s="62" t="n">
        <v>0.3425425425425425</v>
      </c>
      <c r="M46" s="63" t="n">
        <v>0</v>
      </c>
      <c r="N46" s="32" t="inlineStr">
        <is>
          <t>Active</t>
        </is>
      </c>
      <c r="O46" s="32" t="n"/>
      <c r="P46" s="64" t="n">
        <v>4.2</v>
      </c>
      <c r="Q46" s="63" t="n">
        <v>1296</v>
      </c>
      <c r="R46" s="63" t="n">
        <v>341774</v>
      </c>
      <c r="S46" s="63"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0" t="n">
        <v>55.95</v>
      </c>
      <c r="J47" s="61" t="inlineStr">
        <is>
          <t>2026-03-30</t>
        </is>
      </c>
      <c r="K47" s="33" t="n">
        <v>22.16</v>
      </c>
      <c r="L47" s="62" t="n">
        <v>0.3960679177837355</v>
      </c>
      <c r="M47" s="63" t="n"/>
      <c r="N47" s="32" t="inlineStr">
        <is>
          <t>Inactive</t>
        </is>
      </c>
      <c r="O47" s="32" t="n"/>
      <c r="P47" s="64" t="n"/>
      <c r="Q47" s="63" t="n"/>
      <c r="R47" s="63" t="n"/>
      <c r="S47" s="63"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59" t="n">
        <v>39.95</v>
      </c>
      <c r="H48" s="32" t="inlineStr">
        <is>
          <t>Helium 10 Xray, 2026-10-13</t>
        </is>
      </c>
      <c r="I48" s="33" t="n"/>
      <c r="J48" s="32" t="n"/>
      <c r="K48" s="33" t="n"/>
      <c r="L48" s="62" t="n"/>
      <c r="M48" s="63" t="n">
        <v>0</v>
      </c>
      <c r="N48" s="32" t="inlineStr">
        <is>
          <t>Active</t>
        </is>
      </c>
      <c r="O48" s="32" t="n"/>
      <c r="P48" s="64" t="n">
        <v>4.2</v>
      </c>
      <c r="Q48" s="63" t="n">
        <v>1296</v>
      </c>
      <c r="R48" s="63" t="n">
        <v>341774</v>
      </c>
      <c r="S48" s="63"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2" t="n"/>
      <c r="M49" s="63" t="n"/>
      <c r="N49" s="32" t="inlineStr">
        <is>
          <t>Inactive</t>
        </is>
      </c>
      <c r="O49" s="32" t="n"/>
      <c r="P49" s="64" t="n"/>
      <c r="Q49" s="63" t="n"/>
      <c r="R49" s="63" t="n"/>
      <c r="S49" s="63"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59" t="n">
        <v>39.95</v>
      </c>
      <c r="H50" s="32" t="inlineStr">
        <is>
          <t>Helium 10 Xray, 2026-10-13</t>
        </is>
      </c>
      <c r="I50" s="60" t="n">
        <v>39.95</v>
      </c>
      <c r="J50" s="61" t="inlineStr">
        <is>
          <t>2026-03-30</t>
        </is>
      </c>
      <c r="K50" s="33" t="n">
        <v>9.620000000000001</v>
      </c>
      <c r="L50" s="62" t="n">
        <v>0.2408010012515645</v>
      </c>
      <c r="M50" s="63" t="n">
        <v>0</v>
      </c>
      <c r="N50" s="32" t="inlineStr">
        <is>
          <t>Active</t>
        </is>
      </c>
      <c r="O50" s="32" t="inlineStr">
        <is>
          <t>Yes (15%)</t>
        </is>
      </c>
      <c r="P50" s="64" t="n">
        <v>4.2</v>
      </c>
      <c r="Q50" s="63" t="n">
        <v>1296</v>
      </c>
      <c r="R50" s="63" t="n">
        <v>341774</v>
      </c>
      <c r="S50" s="63"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59" t="n">
        <v>35.95</v>
      </c>
      <c r="H51" s="32" t="inlineStr">
        <is>
          <t>Helium 10 Xray, 2026-10-13</t>
        </is>
      </c>
      <c r="I51" s="60" t="n">
        <v>35.95</v>
      </c>
      <c r="J51" s="61" t="inlineStr">
        <is>
          <t>2026-03-30</t>
        </is>
      </c>
      <c r="K51" s="33" t="n">
        <v>8.820000000000002</v>
      </c>
      <c r="L51" s="62" t="n">
        <v>0.2453407510431155</v>
      </c>
      <c r="M51" s="63" t="n">
        <v>0</v>
      </c>
      <c r="N51" s="32" t="inlineStr">
        <is>
          <t>Active</t>
        </is>
      </c>
      <c r="O51" s="32" t="n"/>
      <c r="P51" s="64" t="n">
        <v>4.2</v>
      </c>
      <c r="Q51" s="63" t="n">
        <v>1296</v>
      </c>
      <c r="R51" s="63" t="n">
        <v>341774</v>
      </c>
      <c r="S51" s="63"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2" t="n"/>
      <c r="M52" s="63" t="n"/>
      <c r="N52" s="32" t="inlineStr">
        <is>
          <t>Inactive</t>
        </is>
      </c>
      <c r="O52" s="32" t="n"/>
      <c r="P52" s="64" t="n"/>
      <c r="Q52" s="63" t="n"/>
      <c r="R52" s="63" t="n"/>
      <c r="S52" s="63"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59" t="n">
        <v>35.95</v>
      </c>
      <c r="H53" s="32" t="inlineStr">
        <is>
          <t>Helium 10 Xray, 2026-10-13</t>
        </is>
      </c>
      <c r="I53" s="60" t="n">
        <v>35.95</v>
      </c>
      <c r="J53" s="61" t="inlineStr">
        <is>
          <t>2026-03-30</t>
        </is>
      </c>
      <c r="K53" s="33" t="n">
        <v>9.050000000000002</v>
      </c>
      <c r="L53" s="62" t="n">
        <v>0.2517385257301809</v>
      </c>
      <c r="M53" s="63" t="n">
        <v>0</v>
      </c>
      <c r="N53" s="32" t="inlineStr">
        <is>
          <t>Active</t>
        </is>
      </c>
      <c r="O53" s="32" t="n"/>
      <c r="P53" s="64" t="n">
        <v>4.2</v>
      </c>
      <c r="Q53" s="63" t="n">
        <v>1296</v>
      </c>
      <c r="R53" s="63" t="n">
        <v>341774</v>
      </c>
      <c r="S53" s="63"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0" t="n">
        <v>35.95</v>
      </c>
      <c r="J54" s="61" t="inlineStr">
        <is>
          <t>2026-03-30</t>
        </is>
      </c>
      <c r="K54" s="33" t="n">
        <v>9.050000000000002</v>
      </c>
      <c r="L54" s="62" t="n">
        <v>0.2517385257301809</v>
      </c>
      <c r="M54" s="63" t="n"/>
      <c r="N54" s="32" t="inlineStr">
        <is>
          <t>Inactive</t>
        </is>
      </c>
      <c r="O54" s="32" t="n"/>
      <c r="P54" s="64" t="n"/>
      <c r="Q54" s="63" t="n"/>
      <c r="R54" s="63" t="n"/>
      <c r="S54" s="63"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2" t="n"/>
      <c r="M55" s="63" t="n"/>
      <c r="N55" s="32" t="inlineStr">
        <is>
          <t>Active</t>
        </is>
      </c>
      <c r="O55" s="32" t="n"/>
      <c r="P55" s="64" t="n"/>
      <c r="Q55" s="63" t="n"/>
      <c r="R55" s="63" t="n"/>
      <c r="S55" s="63"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0" t="n">
        <v>41.95</v>
      </c>
      <c r="J56" s="61" t="inlineStr">
        <is>
          <t>2026-03-30</t>
        </is>
      </c>
      <c r="K56" s="33" t="n">
        <v>12.98</v>
      </c>
      <c r="L56" s="62" t="n">
        <v>0.3094159713945173</v>
      </c>
      <c r="M56" s="63" t="n"/>
      <c r="N56" s="32" t="inlineStr">
        <is>
          <t>Inactive</t>
        </is>
      </c>
      <c r="O56" s="32" t="n"/>
      <c r="P56" s="64" t="n"/>
      <c r="Q56" s="63" t="n"/>
      <c r="R56" s="63" t="n"/>
      <c r="S56" s="63"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0" t="n">
        <v>39.95</v>
      </c>
      <c r="J57" s="61" t="inlineStr">
        <is>
          <t>2026-03-30</t>
        </is>
      </c>
      <c r="K57" s="33" t="n">
        <v>9.960000000000001</v>
      </c>
      <c r="L57" s="62" t="n">
        <v>0.2493116395494368</v>
      </c>
      <c r="M57" s="63" t="n"/>
      <c r="N57" s="32" t="inlineStr">
        <is>
          <t>Inactive</t>
        </is>
      </c>
      <c r="O57" s="32" t="n"/>
      <c r="P57" s="64" t="n"/>
      <c r="Q57" s="63" t="n"/>
      <c r="R57" s="63" t="n"/>
      <c r="S57" s="63"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2" t="n"/>
      <c r="M58" s="63" t="n"/>
      <c r="N58" s="32" t="inlineStr">
        <is>
          <t>Active</t>
        </is>
      </c>
      <c r="O58" s="32" t="n"/>
      <c r="P58" s="64" t="n"/>
      <c r="Q58" s="63" t="n"/>
      <c r="R58" s="63" t="n"/>
      <c r="S58" s="63"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2" t="n"/>
      <c r="M59" s="63" t="n"/>
      <c r="N59" s="32" t="inlineStr">
        <is>
          <t>Inactive</t>
        </is>
      </c>
      <c r="O59" s="32" t="n"/>
      <c r="P59" s="64" t="n"/>
      <c r="Q59" s="63" t="n"/>
      <c r="R59" s="63" t="n"/>
      <c r="S59" s="63"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2" t="n"/>
      <c r="M60" s="63" t="n"/>
      <c r="N60" s="32" t="inlineStr">
        <is>
          <t>Inactive</t>
        </is>
      </c>
      <c r="O60" s="32" t="n"/>
      <c r="P60" s="64" t="n"/>
      <c r="Q60" s="63" t="n"/>
      <c r="R60" s="63" t="n"/>
      <c r="S60" s="63"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2" t="n"/>
      <c r="M61" s="63" t="n"/>
      <c r="N61" s="32" t="inlineStr">
        <is>
          <t>Inactive</t>
        </is>
      </c>
      <c r="O61" s="32" t="n"/>
      <c r="P61" s="64" t="n"/>
      <c r="Q61" s="63" t="n"/>
      <c r="R61" s="63" t="n"/>
      <c r="S61" s="63"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2" t="n"/>
      <c r="M62" s="63" t="n"/>
      <c r="N62" s="32" t="inlineStr">
        <is>
          <t>Inactive</t>
        </is>
      </c>
      <c r="O62" s="32" t="n"/>
      <c r="P62" s="64" t="n"/>
      <c r="Q62" s="63" t="n"/>
      <c r="R62" s="63" t="n"/>
      <c r="S62" s="63"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2" t="n"/>
      <c r="M63" s="63" t="n"/>
      <c r="N63" s="32" t="inlineStr">
        <is>
          <t>Inactive</t>
        </is>
      </c>
      <c r="O63" s="32" t="n"/>
      <c r="P63" s="64" t="n"/>
      <c r="Q63" s="63" t="n"/>
      <c r="R63" s="63" t="n"/>
      <c r="S63" s="63"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0" t="n">
        <v>39.95</v>
      </c>
      <c r="J64" s="61" t="inlineStr">
        <is>
          <t>2026-03-30</t>
        </is>
      </c>
      <c r="K64" s="33" t="n">
        <v>8.800000000000001</v>
      </c>
      <c r="L64" s="62" t="n">
        <v>0.2202753441802253</v>
      </c>
      <c r="M64" s="63" t="n"/>
      <c r="N64" s="32" t="inlineStr">
        <is>
          <t>Inactive</t>
        </is>
      </c>
      <c r="O64" s="32" t="n"/>
      <c r="P64" s="64" t="n"/>
      <c r="Q64" s="63" t="n"/>
      <c r="R64" s="63" t="n"/>
      <c r="S64" s="63"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2" t="n"/>
      <c r="M65" s="63" t="n"/>
      <c r="N65" s="32" t="inlineStr">
        <is>
          <t>Inactive</t>
        </is>
      </c>
      <c r="O65" s="32" t="n"/>
      <c r="P65" s="64" t="n"/>
      <c r="Q65" s="63" t="n"/>
      <c r="R65" s="63" t="n"/>
      <c r="S65" s="63"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0" t="n">
        <v>39.95</v>
      </c>
      <c r="J66" s="61" t="inlineStr">
        <is>
          <t>2026-03-30</t>
        </is>
      </c>
      <c r="K66" s="33" t="n">
        <v>10.04</v>
      </c>
      <c r="L66" s="62" t="n">
        <v>0.251314142678348</v>
      </c>
      <c r="M66" s="63" t="n"/>
      <c r="N66" s="32" t="inlineStr">
        <is>
          <t>Inactive</t>
        </is>
      </c>
      <c r="O66" s="32" t="n"/>
      <c r="P66" s="64" t="n"/>
      <c r="Q66" s="63" t="n"/>
      <c r="R66" s="63" t="n"/>
      <c r="S66" s="63"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59" t="n">
        <v>37.95</v>
      </c>
      <c r="H67" s="32" t="inlineStr">
        <is>
          <t>Helium 10 Xray, 2026-10-13</t>
        </is>
      </c>
      <c r="I67" s="60" t="n">
        <v>37.95</v>
      </c>
      <c r="J67" s="61" t="inlineStr">
        <is>
          <t>2026-03-30</t>
        </is>
      </c>
      <c r="K67" s="33" t="n">
        <v>10.43000000000001</v>
      </c>
      <c r="L67" s="62" t="n">
        <v>0.2748353096179185</v>
      </c>
      <c r="M67" s="63" t="n">
        <v>0</v>
      </c>
      <c r="N67" s="32" t="inlineStr">
        <is>
          <t>Active</t>
        </is>
      </c>
      <c r="O67" s="32" t="n"/>
      <c r="P67" s="64" t="n">
        <v>4.2</v>
      </c>
      <c r="Q67" s="63" t="n">
        <v>1296</v>
      </c>
      <c r="R67" s="63" t="n">
        <v>341774</v>
      </c>
      <c r="S67" s="63"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59" t="n">
        <v>37.95</v>
      </c>
      <c r="H68" s="32" t="inlineStr">
        <is>
          <t>Helium 10 Xray, 2026-10-13</t>
        </is>
      </c>
      <c r="I68" s="33" t="n"/>
      <c r="J68" s="32" t="n"/>
      <c r="K68" s="33" t="n"/>
      <c r="L68" s="62" t="n"/>
      <c r="M68" s="63" t="n"/>
      <c r="N68" s="32" t="inlineStr">
        <is>
          <t>Active</t>
        </is>
      </c>
      <c r="O68" s="32" t="inlineStr">
        <is>
          <t>Yes (3%)</t>
        </is>
      </c>
      <c r="P68" s="64" t="n">
        <v>4.2</v>
      </c>
      <c r="Q68" s="63" t="n">
        <v>1296</v>
      </c>
      <c r="R68" s="63" t="n">
        <v>341790</v>
      </c>
      <c r="S68" s="63"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0" t="n">
        <v>37.95</v>
      </c>
      <c r="J69" s="61" t="inlineStr">
        <is>
          <t>2026-03-30</t>
        </is>
      </c>
      <c r="K69" s="33" t="n">
        <v>9.680000000000007</v>
      </c>
      <c r="L69" s="62" t="n">
        <v>0.2550724637681161</v>
      </c>
      <c r="M69" s="63" t="n">
        <v>0</v>
      </c>
      <c r="N69" s="32" t="inlineStr">
        <is>
          <t>Active</t>
        </is>
      </c>
      <c r="O69" s="32" t="n"/>
      <c r="P69" s="64" t="n"/>
      <c r="Q69" s="63" t="n"/>
      <c r="R69" s="63" t="n"/>
      <c r="S69" s="63"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33" t="n"/>
      <c r="H70" s="32" t="n"/>
      <c r="I70" s="60" t="n">
        <v>37.95</v>
      </c>
      <c r="J70" s="61" t="inlineStr">
        <is>
          <t>2026-03-30</t>
        </is>
      </c>
      <c r="K70" s="33" t="n">
        <v>9.680000000000007</v>
      </c>
      <c r="L70" s="62" t="n">
        <v>0.2550724637681161</v>
      </c>
      <c r="M70" s="63" t="n"/>
      <c r="N70" s="32" t="inlineStr">
        <is>
          <t>Inactive</t>
        </is>
      </c>
      <c r="O70" s="32" t="n"/>
      <c r="P70" s="64" t="n"/>
      <c r="Q70" s="63" t="n"/>
      <c r="R70" s="63" t="n"/>
      <c r="S70" s="63"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0" t="n">
        <v>37.95</v>
      </c>
      <c r="J71" s="61" t="inlineStr">
        <is>
          <t>2026-03-30</t>
        </is>
      </c>
      <c r="K71" s="33" t="n">
        <v>8.880000000000006</v>
      </c>
      <c r="L71" s="62" t="n">
        <v>0.2339920948616602</v>
      </c>
      <c r="M71" s="63" t="n"/>
      <c r="N71" s="32" t="inlineStr">
        <is>
          <t>Inactive</t>
        </is>
      </c>
      <c r="O71" s="32" t="n"/>
      <c r="P71" s="64" t="n"/>
      <c r="Q71" s="63" t="n"/>
      <c r="R71" s="63" t="n"/>
      <c r="S71" s="63"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2" t="n"/>
      <c r="M72" s="63" t="n"/>
      <c r="N72" s="32" t="inlineStr">
        <is>
          <t>Inactive</t>
        </is>
      </c>
      <c r="O72" s="32" t="n"/>
      <c r="P72" s="64" t="n"/>
      <c r="Q72" s="63" t="n"/>
      <c r="R72" s="63" t="n"/>
      <c r="S72" s="63"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0" t="n">
        <v>37.95</v>
      </c>
      <c r="J73" s="61" t="inlineStr">
        <is>
          <t>2026-03-30</t>
        </is>
      </c>
      <c r="K73" s="33" t="n">
        <v>8.930000000000007</v>
      </c>
      <c r="L73" s="62" t="n">
        <v>0.2353096179183137</v>
      </c>
      <c r="M73" s="63" t="n"/>
      <c r="N73" s="32" t="inlineStr">
        <is>
          <t>Inactive</t>
        </is>
      </c>
      <c r="O73" s="32" t="n"/>
      <c r="P73" s="64" t="n"/>
      <c r="Q73" s="63" t="n"/>
      <c r="R73" s="63" t="n"/>
      <c r="S73" s="63"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0" t="n">
        <v>37.95</v>
      </c>
      <c r="J74" s="61" t="inlineStr">
        <is>
          <t>2026-03-30</t>
        </is>
      </c>
      <c r="K74" s="33" t="n">
        <v>8.650000000000006</v>
      </c>
      <c r="L74" s="62" t="n">
        <v>0.2279314888010542</v>
      </c>
      <c r="M74" s="63" t="n"/>
      <c r="N74" s="32" t="inlineStr">
        <is>
          <t>Inactive</t>
        </is>
      </c>
      <c r="O74" s="32" t="n"/>
      <c r="P74" s="64" t="n"/>
      <c r="Q74" s="63" t="n"/>
      <c r="R74" s="63" t="n"/>
      <c r="S74" s="63"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59" t="n">
        <v>33.95</v>
      </c>
      <c r="H75" s="32" t="inlineStr">
        <is>
          <t>Helium 10 Xray, 2026-10-13</t>
        </is>
      </c>
      <c r="I75" s="60" t="n">
        <v>38.95</v>
      </c>
      <c r="J75" s="61" t="inlineStr">
        <is>
          <t>2026-03-30</t>
        </is>
      </c>
      <c r="K75" s="33" t="n">
        <v>15.93</v>
      </c>
      <c r="L75" s="62" t="n">
        <v>0.4089858793324775</v>
      </c>
      <c r="M75" s="63" t="n">
        <v>0</v>
      </c>
      <c r="N75" s="32" t="inlineStr">
        <is>
          <t>Active</t>
        </is>
      </c>
      <c r="O75" s="32" t="n"/>
      <c r="P75" s="64" t="n">
        <v>4.2</v>
      </c>
      <c r="Q75" s="63" t="n">
        <v>1296</v>
      </c>
      <c r="R75" s="63" t="n">
        <v>341774</v>
      </c>
      <c r="S75" s="63"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59" t="n">
        <v>33.95</v>
      </c>
      <c r="H76" s="32" t="inlineStr">
        <is>
          <t>Helium 10 Xray, 2026-10-13</t>
        </is>
      </c>
      <c r="I76" s="60" t="n">
        <v>20.47</v>
      </c>
      <c r="J76" s="61" t="inlineStr">
        <is>
          <t>2026-03-30</t>
        </is>
      </c>
      <c r="K76" s="33" t="n">
        <v>-0.2500000000000018</v>
      </c>
      <c r="L76" s="62" t="n">
        <v>-1.221299462628245</v>
      </c>
      <c r="M76" s="63" t="n">
        <v>0</v>
      </c>
      <c r="N76" s="32" t="inlineStr">
        <is>
          <t>Active</t>
        </is>
      </c>
      <c r="O76" s="32" t="n"/>
      <c r="P76" s="64" t="n">
        <v>4.2</v>
      </c>
      <c r="Q76" s="63" t="n">
        <v>1296</v>
      </c>
      <c r="R76" s="63" t="n">
        <v>341774</v>
      </c>
      <c r="S76" s="63"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2" t="n"/>
      <c r="M77" s="63" t="n"/>
      <c r="N77" s="32" t="inlineStr">
        <is>
          <t>Inactive</t>
        </is>
      </c>
      <c r="O77" s="32" t="n"/>
      <c r="P77" s="64" t="n"/>
      <c r="Q77" s="63" t="n"/>
      <c r="R77" s="63" t="n"/>
      <c r="S77" s="63"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59" t="n">
        <v>33.95</v>
      </c>
      <c r="H78" s="32" t="inlineStr">
        <is>
          <t>Helium 10 Xray, 2026-10-13</t>
        </is>
      </c>
      <c r="I78" s="60" t="n">
        <v>33.95</v>
      </c>
      <c r="J78" s="61" t="inlineStr">
        <is>
          <t>2026-03-30</t>
        </is>
      </c>
      <c r="K78" s="33" t="n">
        <v>11.95</v>
      </c>
      <c r="L78" s="62" t="n">
        <v>0.3519882179675995</v>
      </c>
      <c r="M78" s="63" t="n">
        <v>0</v>
      </c>
      <c r="N78" s="32" t="inlineStr">
        <is>
          <t>Active</t>
        </is>
      </c>
      <c r="O78" s="32" t="n"/>
      <c r="P78" s="64" t="n">
        <v>4.2</v>
      </c>
      <c r="Q78" s="63" t="n">
        <v>1296</v>
      </c>
      <c r="R78" s="63" t="n">
        <v>341774</v>
      </c>
      <c r="S78" s="63"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0" t="n">
        <v>35.95</v>
      </c>
      <c r="J79" s="61" t="inlineStr">
        <is>
          <t>2026-03-10</t>
        </is>
      </c>
      <c r="K79" s="33" t="n"/>
      <c r="L79" s="62" t="n"/>
      <c r="M79" s="63" t="n"/>
      <c r="N79" s="32" t="inlineStr">
        <is>
          <t>Inactive</t>
        </is>
      </c>
      <c r="O79" s="32" t="n"/>
      <c r="P79" s="64" t="n"/>
      <c r="Q79" s="63" t="n"/>
      <c r="R79" s="63" t="n"/>
      <c r="S79" s="63"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59" t="n">
        <v>33.95</v>
      </c>
      <c r="H80" s="32" t="inlineStr">
        <is>
          <t>Helium 10 Xray, 2026-10-13</t>
        </is>
      </c>
      <c r="I80" s="60" t="n">
        <v>28.66</v>
      </c>
      <c r="J80" s="61" t="inlineStr">
        <is>
          <t>2026-03-30</t>
        </is>
      </c>
      <c r="K80" s="33" t="n">
        <v>6.99</v>
      </c>
      <c r="L80" s="62" t="n">
        <v>0.243893928820656</v>
      </c>
      <c r="M80" s="63" t="n">
        <v>0</v>
      </c>
      <c r="N80" s="32" t="inlineStr">
        <is>
          <t>Active</t>
        </is>
      </c>
      <c r="O80" s="32" t="n"/>
      <c r="P80" s="64" t="n">
        <v>4.2</v>
      </c>
      <c r="Q80" s="63" t="n">
        <v>1296</v>
      </c>
      <c r="R80" s="63" t="n">
        <v>341774</v>
      </c>
      <c r="S80" s="63"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59" t="n">
        <v>33.95</v>
      </c>
      <c r="H81" s="32" t="inlineStr">
        <is>
          <t>Helium 10 Xray, 2026-10-13</t>
        </is>
      </c>
      <c r="I81" s="60" t="n">
        <v>33.95</v>
      </c>
      <c r="J81" s="61" t="inlineStr">
        <is>
          <t>2026-03-30</t>
        </is>
      </c>
      <c r="K81" s="33" t="n">
        <v>10.74000000000001</v>
      </c>
      <c r="L81" s="62" t="n">
        <v>0.3163475699558175</v>
      </c>
      <c r="M81" s="63" t="n">
        <v>0</v>
      </c>
      <c r="N81" s="32" t="inlineStr">
        <is>
          <t>Active</t>
        </is>
      </c>
      <c r="O81" s="32" t="n"/>
      <c r="P81" s="64" t="n">
        <v>4.2</v>
      </c>
      <c r="Q81" s="63" t="n">
        <v>1296</v>
      </c>
      <c r="R81" s="63" t="n">
        <v>341774</v>
      </c>
      <c r="S81" s="63"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0" t="n">
        <v>33.95</v>
      </c>
      <c r="J82" s="61" t="inlineStr">
        <is>
          <t>2026-03-30</t>
        </is>
      </c>
      <c r="K82" s="33" t="n">
        <v>11.68</v>
      </c>
      <c r="L82" s="62" t="n">
        <v>0.3440353460972018</v>
      </c>
      <c r="M82" s="63" t="n"/>
      <c r="N82" s="32" t="inlineStr">
        <is>
          <t>Inactive</t>
        </is>
      </c>
      <c r="O82" s="32" t="n"/>
      <c r="P82" s="64" t="n"/>
      <c r="Q82" s="63" t="n"/>
      <c r="R82" s="63" t="n"/>
      <c r="S82" s="63"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59" t="n">
        <v>33.95</v>
      </c>
      <c r="H83" s="32" t="inlineStr">
        <is>
          <t>Helium 10 Xray, 2026-10-13</t>
        </is>
      </c>
      <c r="I83" s="60" t="n">
        <v>39.95</v>
      </c>
      <c r="J83" s="61" t="inlineStr">
        <is>
          <t>2026-03-30</t>
        </is>
      </c>
      <c r="K83" s="33" t="n">
        <v>15.9</v>
      </c>
      <c r="L83" s="62" t="n">
        <v>0.3979974968710889</v>
      </c>
      <c r="M83" s="63" t="n">
        <v>0</v>
      </c>
      <c r="N83" s="32" t="inlineStr">
        <is>
          <t>Active</t>
        </is>
      </c>
      <c r="O83" s="32" t="n"/>
      <c r="P83" s="64" t="n">
        <v>4.2</v>
      </c>
      <c r="Q83" s="63" t="n">
        <v>1296</v>
      </c>
      <c r="R83" s="63" t="n">
        <v>341774</v>
      </c>
      <c r="S83" s="63" t="n">
        <v>3</v>
      </c>
      <c r="T83" s="32" t="n"/>
    </row>
    <row r="85" ht="20" customHeight="1">
      <c r="A85" s="53" t="inlineStr">
        <is>
          <t>3 · OUR BFCM 2025 RESULT &amp; EVENT VISIBILITY</t>
        </is>
      </c>
    </row>
    <row r="86">
      <c r="A86" s="66" t="inlineStr">
        <is>
          <t>Window</t>
        </is>
      </c>
      <c r="B86" s="67" t="n"/>
      <c r="C86" s="68" t="n"/>
      <c r="D86" s="66" t="inlineStr">
        <is>
          <t>Ad spend</t>
        </is>
      </c>
      <c r="E86" s="66" t="inlineStr">
        <is>
          <t>Ad sales</t>
        </is>
      </c>
      <c r="F86" s="66" t="inlineStr">
        <is>
          <t>ACoS</t>
        </is>
      </c>
      <c r="G86" s="66" t="inlineStr">
        <is>
          <t>TACoS</t>
        </is>
      </c>
      <c r="H86" s="66" t="inlineStr">
        <is>
          <t>Total sales (derived)</t>
        </is>
      </c>
      <c r="J86" s="66" t="inlineStr">
        <is>
          <t>Ad orders</t>
        </is>
      </c>
      <c r="K86" s="66" t="inlineStr">
        <is>
          <t>CVR</t>
        </is>
      </c>
    </row>
    <row r="87">
      <c r="A87" s="69" t="inlineStr">
        <is>
          <t>Pre-event Oct 21 - Nov 19, 2025 (30d)</t>
        </is>
      </c>
      <c r="B87" s="67" t="n"/>
      <c r="C87" s="68" t="n"/>
      <c r="D87" s="70" t="n">
        <v>247.96</v>
      </c>
      <c r="E87" s="70" t="n">
        <v>727.3299999999999</v>
      </c>
      <c r="F87" s="71" t="n">
        <v>34.1</v>
      </c>
      <c r="G87" s="71" t="n">
        <v>5.130815517426894</v>
      </c>
      <c r="H87" s="70" t="n">
        <v>4832.76</v>
      </c>
      <c r="J87" s="72" t="n">
        <v>14</v>
      </c>
      <c r="K87" s="73" t="n">
        <v>10.14</v>
      </c>
    </row>
    <row r="88">
      <c r="A88" s="69" t="inlineStr">
        <is>
          <t>BFCM week Nov 20 - Dec 1, 2025 (12d)</t>
        </is>
      </c>
      <c r="B88" s="67" t="n"/>
      <c r="C88" s="68" t="n"/>
      <c r="D88" s="70" t="n">
        <v>215.53</v>
      </c>
      <c r="E88" s="70" t="n">
        <v>634.4599999999999</v>
      </c>
      <c r="F88" s="71" t="n">
        <v>34</v>
      </c>
      <c r="G88" s="71" t="n">
        <v>6.846895500103245</v>
      </c>
      <c r="H88" s="70" t="n">
        <v>3147.85</v>
      </c>
      <c r="J88" s="72" t="n">
        <v>14</v>
      </c>
      <c r="K88" s="73" t="n">
        <v>12.96</v>
      </c>
    </row>
    <row r="89">
      <c r="A89" s="69" t="inlineStr">
        <is>
          <t>December 2 - 31, 2025 (30d)</t>
        </is>
      </c>
      <c r="B89" s="67" t="n"/>
      <c r="C89" s="68" t="n"/>
      <c r="D89" s="70" t="n">
        <v>540.34</v>
      </c>
      <c r="E89" s="70" t="n">
        <v>1695.65</v>
      </c>
      <c r="F89" s="71" t="n">
        <v>31.9</v>
      </c>
      <c r="G89" s="71" t="n">
        <v>6.186945743712466</v>
      </c>
      <c r="H89" s="70" t="n">
        <v>8733.549999999999</v>
      </c>
      <c r="J89" s="72" t="n">
        <v>35</v>
      </c>
      <c r="K89" s="73" t="n">
        <v>11.63</v>
      </c>
    </row>
    <row r="91">
      <c r="A91" s="66" t="inlineStr">
        <is>
          <t>Actual sales (SellerBoard)</t>
        </is>
      </c>
      <c r="B91" s="67" t="n"/>
      <c r="C91" s="68" t="n"/>
      <c r="D91" s="66" t="inlineStr">
        <is>
          <t>Sales</t>
        </is>
      </c>
      <c r="E91" s="66" t="inlineStr">
        <is>
          <t>Units</t>
        </is>
      </c>
      <c r="F91" s="66" t="inlineStr">
        <is>
          <t>Organic units</t>
        </is>
      </c>
      <c r="G91" s="66" t="inlineStr">
        <is>
          <t>Ad units</t>
        </is>
      </c>
      <c r="H91" s="66" t="inlineStr">
        <is>
          <t>Ad cost</t>
        </is>
      </c>
      <c r="J91" s="66" t="inlineStr">
        <is>
          <t>TACoS (actual)</t>
        </is>
      </c>
      <c r="K91" s="66" t="inlineStr">
        <is>
          <t>Sessions</t>
        </is>
      </c>
      <c r="L91" s="66" t="inlineStr">
        <is>
          <t>Unit session %</t>
        </is>
      </c>
      <c r="M91" s="66" t="inlineStr">
        <is>
          <t>Avg price</t>
        </is>
      </c>
      <c r="N91" s="66" t="inlineStr">
        <is>
          <t>Refunds</t>
        </is>
      </c>
    </row>
    <row r="92">
      <c r="A92" s="69" t="inlineStr">
        <is>
          <t>Pre-event Oct 21 - Nov 19, 2025 (30d)</t>
        </is>
      </c>
      <c r="B92" s="67" t="n"/>
      <c r="C92" s="68" t="n"/>
      <c r="D92" s="70" t="n">
        <v>4832.76</v>
      </c>
      <c r="E92" s="72" t="n">
        <v>123</v>
      </c>
      <c r="F92" s="72" t="n">
        <v>111</v>
      </c>
      <c r="G92" s="72" t="n">
        <v>12</v>
      </c>
      <c r="H92" s="70" t="n">
        <v>466.95</v>
      </c>
      <c r="J92" s="74" t="n">
        <v>0.09662180617287015</v>
      </c>
      <c r="K92" s="72" t="n">
        <v>4250</v>
      </c>
      <c r="L92" s="74" t="n">
        <v>0.02894117647058823</v>
      </c>
      <c r="M92" s="75" t="n">
        <v>39.29073170731707</v>
      </c>
      <c r="N92" s="72" t="n">
        <v>8</v>
      </c>
    </row>
    <row r="93">
      <c r="A93" s="69" t="inlineStr">
        <is>
          <t>BFCM week Nov 20 - Dec 1, 2025 (12d)</t>
        </is>
      </c>
      <c r="B93" s="67" t="n"/>
      <c r="C93" s="68" t="n"/>
      <c r="D93" s="70" t="n">
        <v>3147.85</v>
      </c>
      <c r="E93" s="72" t="n">
        <v>83</v>
      </c>
      <c r="F93" s="72" t="n">
        <v>79</v>
      </c>
      <c r="G93" s="72" t="n">
        <v>4</v>
      </c>
      <c r="H93" s="70" t="n">
        <v>314.59</v>
      </c>
      <c r="J93" s="74" t="n">
        <v>0.09993805295678003</v>
      </c>
      <c r="K93" s="72" t="n">
        <v>1884</v>
      </c>
      <c r="L93" s="74" t="n">
        <v>0.0440552016985138</v>
      </c>
      <c r="M93" s="75" t="n">
        <v>37.92590361445784</v>
      </c>
      <c r="N93" s="72" t="n">
        <v>1</v>
      </c>
    </row>
    <row r="94">
      <c r="A94" s="69" t="inlineStr">
        <is>
          <t>December 2 - 31, 2025 (30d)</t>
        </is>
      </c>
      <c r="B94" s="67" t="n"/>
      <c r="C94" s="68" t="n"/>
      <c r="D94" s="70" t="n">
        <v>8733.549999999999</v>
      </c>
      <c r="E94" s="72" t="n">
        <v>229</v>
      </c>
      <c r="F94" s="72" t="n">
        <v>216</v>
      </c>
      <c r="G94" s="72" t="n">
        <v>13</v>
      </c>
      <c r="H94" s="70" t="n">
        <v>804.3200000000001</v>
      </c>
      <c r="J94" s="74" t="n">
        <v>0.09209542511349911</v>
      </c>
      <c r="K94" s="72" t="n">
        <v>5044</v>
      </c>
      <c r="L94" s="74" t="n">
        <v>0.04540047581284695</v>
      </c>
      <c r="M94" s="75" t="n">
        <v>38.13777292576419</v>
      </c>
      <c r="N94" s="72" t="n">
        <v>21</v>
      </c>
    </row>
    <row r="95">
      <c r="A95" s="58" t="inlineStr">
        <is>
          <t>SellerBoard, Ecotero account, Amazon parent B0HLLHYGLQ plus any of this product's child ASINs SellerBoard lists on their own, UTC days. Lift above uses these actual sales (1.63x; the ad-spend estimate was 1.63x).</t>
        </is>
      </c>
    </row>
    <row r="96" ht="30" customHeight="1">
      <c r="A96" s="76"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NOT IN A DEAL. BM confirmed that products without a planned deal are not in any BFCM 2026 deal; they sell at their regular price.</t>
        </is>
      </c>
    </row>
    <row r="98" ht="30" customHeight="1">
      <c r="A98" s="76" t="inlineStr">
        <is>
          <t>Our hero child B0C9LS5H2T in Keepa (Command Center, US): Best Seller Rank 156,082 → 176,144 (1.13x worse). Price is Keepa's lowest new offer (Keepa holds no Buy Box series for our own ASINs; we are the only seller).</t>
        </is>
      </c>
    </row>
    <row r="99" ht="40" customHeight="1">
      <c r="A99" s="76"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8" t="inlineStr">
        <is>
          <t>Command Center visibility for our best child B0C9LS5H2T: organic score 0.0 before BFCM 2025 → 0.0 in BFCM week; Prime Day 2026 0.0 → 0.0; Aug-Sep 2026 0.6.</t>
        </is>
      </c>
    </row>
    <row r="102" ht="20" customHeight="1">
      <c r="A102" s="53" t="inlineStr">
        <is>
          <t>4 · COMPETITOR LANDSCAPE (28 mapped)</t>
        </is>
      </c>
    </row>
    <row r="103">
      <c r="A103" s="58"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5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7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7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5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7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7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5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7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7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5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7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5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5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7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7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Helium 10 Xray, 2026-10-13; 7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5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COMING SOON</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7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5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5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7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3"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Cooling Sheets 4 Piece  ·  Amazon.com (US)  ·  Cooling  ·  BFCM role: Off-season (aged variations only)  ·  Scope: Core</t>
        </is>
      </c>
    </row>
    <row r="2">
      <c r="A2" s="52" t="inlineStr">
        <is>
          <t>← Dashboard</t>
        </is>
      </c>
    </row>
    <row r="3" ht="20" customHeight="1">
      <c r="A3" s="53"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4" t="inlineStr">
        <is>
          <t>Cal King, Full, King, Queen, Twin</t>
        </is>
      </c>
      <c r="S4" s="11" t="inlineStr">
        <is>
          <t>Break-even ACoS</t>
        </is>
      </c>
      <c r="T4" s="54" t="inlineStr">
        <is>
          <t>31%</t>
        </is>
      </c>
    </row>
    <row r="5" ht="22" customHeight="1">
      <c r="C5" s="11" t="inlineStr">
        <is>
          <t>Brand</t>
        </is>
      </c>
      <c r="D5" s="54" t="inlineStr">
        <is>
          <t>Sleephoria</t>
        </is>
      </c>
      <c r="K5" s="11" t="inlineStr">
        <is>
          <t>Colours</t>
        </is>
      </c>
      <c r="L5" s="54" t="inlineStr">
        <is>
          <t>Beige, Cool Grey, Cream, Graphite, Light Blue, Light Grey, Light Pink, Midnight Black, Navy Blue, Regal Purple, Sage Green, White, Black</t>
        </is>
      </c>
      <c r="S5" s="11" t="inlineStr">
        <is>
          <t>Units last 28 days</t>
        </is>
      </c>
      <c r="T5" s="54" t="inlineStr">
        <is>
          <t>332</t>
        </is>
      </c>
    </row>
    <row r="6" ht="22" customHeight="1">
      <c r="C6" s="11" t="inlineStr">
        <is>
          <t>Marketplace</t>
        </is>
      </c>
      <c r="D6" s="54" t="inlineStr">
        <is>
          <t>Amazon.com (US)</t>
        </is>
      </c>
      <c r="K6" s="11" t="inlineStr">
        <is>
          <t>Price now, best child</t>
        </is>
      </c>
      <c r="L6" s="54" t="inlineStr">
        <is>
          <t>$84.99 (Helium 10 Xray, 2026-10-13)</t>
        </is>
      </c>
      <c r="S6" s="11" t="inlineStr">
        <is>
          <t>Command Center product ASIN</t>
        </is>
      </c>
      <c r="T6" s="54" t="inlineStr">
        <is>
          <t>B0F7LXFGLX (one of our child ASINs, not the Amazon parent)</t>
        </is>
      </c>
    </row>
    <row r="7" ht="22" customHeight="1">
      <c r="C7" s="11" t="inlineStr">
        <is>
          <t>Parent ASIN (Amazon)</t>
        </is>
      </c>
      <c r="D7" s="54" t="inlineStr">
        <is>
          <t>B0H8PNVWP1</t>
        </is>
      </c>
      <c r="K7" s="11" t="inlineStr">
        <is>
          <t>Rating / reviews now</t>
        </is>
      </c>
      <c r="L7" s="54" t="inlineStr">
        <is>
          <t>4.4 / 894 (Helium 10 Xray, 2026-10-13)</t>
        </is>
      </c>
    </row>
    <row r="8" ht="22" customHeight="1">
      <c r="C8" s="11" t="inlineStr">
        <is>
          <t>Best-selling child ASIN</t>
        </is>
      </c>
      <c r="D8" s="54" t="inlineStr">
        <is>
          <t>B0F7LZQNHM</t>
        </is>
      </c>
      <c r="K8" s="11" t="inlineStr">
        <is>
          <t>Live prices held</t>
        </is>
      </c>
      <c r="L8" s="54" t="inlineStr">
        <is>
          <t>40 of 61 variations</t>
        </is>
      </c>
    </row>
    <row r="9" ht="22" customHeight="1">
      <c r="C9" s="11" t="inlineStr">
        <is>
          <t>Stage</t>
        </is>
      </c>
      <c r="D9" s="54" t="inlineStr">
        <is>
          <t>Re-Launch</t>
        </is>
      </c>
      <c r="K9" s="11" t="inlineStr">
        <is>
          <t>Blended price (Command Center)</t>
        </is>
      </c>
      <c r="L9" s="54" t="inlineStr">
        <is>
          <t>$66.37 - fee feed as of 2026-03-30, STALE</t>
        </is>
      </c>
    </row>
    <row r="10">
      <c r="C10" s="11" t="inlineStr">
        <is>
          <t>Total variations (SKUs)</t>
        </is>
      </c>
      <c r="D10" s="54" t="n">
        <v>61</v>
      </c>
      <c r="K10" s="11" t="inlineStr">
        <is>
          <t>Contribution / unit</t>
        </is>
      </c>
      <c r="L10" s="54" t="inlineStr">
        <is>
          <t>$20.45</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1.16x</t>
        </is>
      </c>
      <c r="E12" s="56" t="inlineStr">
        <is>
          <t>1.6%</t>
        </is>
      </c>
      <c r="I12" s="56" t="inlineStr">
        <is>
          <t>0.76x</t>
        </is>
      </c>
      <c r="M12" s="56" t="inlineStr">
        <is>
          <t>36</t>
        </is>
      </c>
      <c r="Q12" s="56" t="inlineStr">
        <is>
          <t>20</t>
        </is>
      </c>
      <c r="U12" s="56" t="inlineStr">
        <is>
          <t>1</t>
        </is>
      </c>
    </row>
    <row r="13">
      <c r="A13" s="57" t="inlineStr">
        <is>
          <t>daily sales, BFCM wk vs 30 days before (SellerBoard actual)</t>
        </is>
      </c>
      <c r="E13" s="57" t="inlineStr">
        <is>
          <t>vs 4.4%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(61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0" t="n">
        <v>76.98999999999999</v>
      </c>
      <c r="J18" s="61" t="inlineStr">
        <is>
          <t>2026-03-30</t>
        </is>
      </c>
      <c r="K18" s="33" t="n">
        <v>26.61</v>
      </c>
      <c r="L18" s="62" t="n">
        <v>0.3456293025068191</v>
      </c>
      <c r="M18" s="63" t="n">
        <v>32</v>
      </c>
      <c r="N18" s="32" t="inlineStr">
        <is>
          <t>Active</t>
        </is>
      </c>
      <c r="O18" s="32" t="inlineStr">
        <is>
          <t>Yes (12%)</t>
        </is>
      </c>
      <c r="P18" s="64" t="n"/>
      <c r="Q18" s="63" t="n"/>
      <c r="R18" s="63" t="n"/>
      <c r="S18" s="63"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59" t="n">
        <v>79.98999999999999</v>
      </c>
      <c r="H19" s="32" t="inlineStr">
        <is>
          <t>Helium 10 Xray, 2026-10-13</t>
        </is>
      </c>
      <c r="I19" s="60" t="n">
        <v>64.98999999999999</v>
      </c>
      <c r="J19" s="61" t="inlineStr">
        <is>
          <t>2026-03-30</t>
        </is>
      </c>
      <c r="K19" s="33" t="n">
        <v>20.55</v>
      </c>
      <c r="L19" s="62" t="n">
        <v>0.3162024926911832</v>
      </c>
      <c r="M19" s="63" t="n">
        <v>22</v>
      </c>
      <c r="N19" s="32" t="inlineStr">
        <is>
          <t>Active</t>
        </is>
      </c>
      <c r="O19" s="32" t="inlineStr">
        <is>
          <t>Yes (60%)</t>
        </is>
      </c>
      <c r="P19" s="64" t="n">
        <v>4.4</v>
      </c>
      <c r="Q19" s="63" t="n">
        <v>894</v>
      </c>
      <c r="R19" s="63" t="n">
        <v>98965</v>
      </c>
      <c r="S19" s="63"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59" t="n">
        <v>84.98999999999999</v>
      </c>
      <c r="H20" s="32" t="inlineStr">
        <is>
          <t>Helium 10 Xray, 2026-10-13</t>
        </is>
      </c>
      <c r="I20" s="60" t="n">
        <v>69.98999999999999</v>
      </c>
      <c r="J20" s="61" t="inlineStr">
        <is>
          <t>2026-03-30</t>
        </is>
      </c>
      <c r="K20" s="33" t="n">
        <v>20.66</v>
      </c>
      <c r="L20" s="62" t="n">
        <v>0.2951850264323475</v>
      </c>
      <c r="M20" s="63" t="n">
        <v>19</v>
      </c>
      <c r="N20" s="32" t="inlineStr">
        <is>
          <t>Active</t>
        </is>
      </c>
      <c r="O20" s="32" t="n"/>
      <c r="P20" s="64" t="n">
        <v>4.4</v>
      </c>
      <c r="Q20" s="63" t="n">
        <v>894</v>
      </c>
      <c r="R20" s="63" t="n">
        <v>98970</v>
      </c>
      <c r="S20" s="63"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59" t="n">
        <v>84.98999999999999</v>
      </c>
      <c r="H21" s="32" t="inlineStr">
        <is>
          <t>Helium 10 Xray, 2026-10-13</t>
        </is>
      </c>
      <c r="I21" s="60" t="n">
        <v>69.98999999999999</v>
      </c>
      <c r="J21" s="61" t="inlineStr">
        <is>
          <t>2026-03-28</t>
        </is>
      </c>
      <c r="K21" s="33" t="n">
        <v>20.58</v>
      </c>
      <c r="L21" s="62" t="n">
        <v>0.2940420060008573</v>
      </c>
      <c r="M21" s="63" t="n">
        <v>18</v>
      </c>
      <c r="N21" s="32" t="inlineStr">
        <is>
          <t>Active</t>
        </is>
      </c>
      <c r="O21" s="32" t="n"/>
      <c r="P21" s="64" t="n">
        <v>4.4</v>
      </c>
      <c r="Q21" s="63" t="n">
        <v>894</v>
      </c>
      <c r="R21" s="63" t="n">
        <v>98970</v>
      </c>
      <c r="S21" s="63"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59" t="n">
        <v>84.98999999999999</v>
      </c>
      <c r="H22" s="32" t="inlineStr">
        <is>
          <t>Helium 10 Xray, 2026-10-13</t>
        </is>
      </c>
      <c r="I22" s="60" t="n">
        <v>76.98999999999999</v>
      </c>
      <c r="J22" s="61" t="inlineStr">
        <is>
          <t>2026-03-30</t>
        </is>
      </c>
      <c r="K22" s="33" t="n">
        <v>26.61</v>
      </c>
      <c r="L22" s="62" t="n">
        <v>0.3456293025068191</v>
      </c>
      <c r="M22" s="63" t="n">
        <v>16</v>
      </c>
      <c r="N22" s="32" t="inlineStr">
        <is>
          <t>Active</t>
        </is>
      </c>
      <c r="O22" s="32" t="n"/>
      <c r="P22" s="64" t="n">
        <v>4.4</v>
      </c>
      <c r="Q22" s="63" t="n">
        <v>894</v>
      </c>
      <c r="R22" s="63" t="n">
        <v>98970</v>
      </c>
      <c r="S22" s="63"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59" t="n">
        <v>84.98999999999999</v>
      </c>
      <c r="H23" s="32" t="inlineStr">
        <is>
          <t>Helium 10 Xray, 2026-10-13</t>
        </is>
      </c>
      <c r="I23" s="60" t="n">
        <v>69.98999999999999</v>
      </c>
      <c r="J23" s="61" t="inlineStr">
        <is>
          <t>2026-03-30</t>
        </is>
      </c>
      <c r="K23" s="33" t="n">
        <v>19.49999999999999</v>
      </c>
      <c r="L23" s="62" t="n">
        <v>0.2786112301757393</v>
      </c>
      <c r="M23" s="63" t="n">
        <v>15</v>
      </c>
      <c r="N23" s="32" t="inlineStr">
        <is>
          <t>Active</t>
        </is>
      </c>
      <c r="O23" s="32" t="n"/>
      <c r="P23" s="64" t="n">
        <v>4.4</v>
      </c>
      <c r="Q23" s="63" t="n">
        <v>894</v>
      </c>
      <c r="R23" s="63" t="n">
        <v>98965</v>
      </c>
      <c r="S23" s="63"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59" t="n">
        <v>84.98999999999999</v>
      </c>
      <c r="H24" s="32" t="inlineStr">
        <is>
          <t>Helium 10 Xray, 2026-10-13</t>
        </is>
      </c>
      <c r="I24" s="60" t="n">
        <v>76.98999999999999</v>
      </c>
      <c r="J24" s="61" t="inlineStr">
        <is>
          <t>2026-03-30</t>
        </is>
      </c>
      <c r="K24" s="33" t="n">
        <v>26.53</v>
      </c>
      <c r="L24" s="62" t="n">
        <v>0.3445902065203273</v>
      </c>
      <c r="M24" s="63" t="n">
        <v>15</v>
      </c>
      <c r="N24" s="32" t="inlineStr">
        <is>
          <t>Active</t>
        </is>
      </c>
      <c r="O24" s="32" t="n"/>
      <c r="P24" s="64" t="n">
        <v>4.4</v>
      </c>
      <c r="Q24" s="63" t="n">
        <v>894</v>
      </c>
      <c r="R24" s="63" t="n">
        <v>98970</v>
      </c>
      <c r="S24" s="63"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59" t="n">
        <v>79.98999999999999</v>
      </c>
      <c r="H25" s="32" t="inlineStr">
        <is>
          <t>Helium 10 Xray, 2026-10-13</t>
        </is>
      </c>
      <c r="I25" s="60" t="n">
        <v>64.98999999999999</v>
      </c>
      <c r="J25" s="61" t="inlineStr">
        <is>
          <t>2026-03-30</t>
        </is>
      </c>
      <c r="K25" s="33" t="n">
        <v>20.55</v>
      </c>
      <c r="L25" s="62" t="n">
        <v>0.3162024926911832</v>
      </c>
      <c r="M25" s="63" t="n">
        <v>14</v>
      </c>
      <c r="N25" s="32" t="inlineStr">
        <is>
          <t>Active</t>
        </is>
      </c>
      <c r="O25" s="32" t="n"/>
      <c r="P25" s="64" t="n">
        <v>4.4</v>
      </c>
      <c r="Q25" s="63" t="n">
        <v>894</v>
      </c>
      <c r="R25" s="63" t="n">
        <v>98965</v>
      </c>
      <c r="S25" s="63"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59" t="n">
        <v>79.98999999999999</v>
      </c>
      <c r="H26" s="32" t="inlineStr">
        <is>
          <t>Helium 10 Xray, 2026-10-13</t>
        </is>
      </c>
      <c r="I26" s="60" t="n">
        <v>64.98999999999999</v>
      </c>
      <c r="J26" s="61" t="inlineStr">
        <is>
          <t>2026-03-30</t>
        </is>
      </c>
      <c r="K26" s="33" t="n">
        <v>20.55</v>
      </c>
      <c r="L26" s="62" t="n">
        <v>0.3162024926911832</v>
      </c>
      <c r="M26" s="63" t="n">
        <v>13</v>
      </c>
      <c r="N26" s="32" t="inlineStr">
        <is>
          <t>Active</t>
        </is>
      </c>
      <c r="O26" s="32" t="inlineStr">
        <is>
          <t>Yes (4%)</t>
        </is>
      </c>
      <c r="P26" s="64" t="n">
        <v>4.4</v>
      </c>
      <c r="Q26" s="63" t="n">
        <v>894</v>
      </c>
      <c r="R26" s="63" t="n">
        <v>98970</v>
      </c>
      <c r="S26" s="63"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59" t="n">
        <v>86.39</v>
      </c>
      <c r="H27" s="32" t="inlineStr">
        <is>
          <t>Helium 10 Xray, 2026-10-13</t>
        </is>
      </c>
      <c r="I27" s="60" t="n">
        <v>64.98999999999999</v>
      </c>
      <c r="J27" s="61" t="inlineStr">
        <is>
          <t>2026-03-30</t>
        </is>
      </c>
      <c r="K27" s="33" t="n">
        <v>20.55</v>
      </c>
      <c r="L27" s="62" t="n">
        <v>0.3162024926911832</v>
      </c>
      <c r="M27" s="63" t="n">
        <v>13</v>
      </c>
      <c r="N27" s="32" t="inlineStr">
        <is>
          <t>Active</t>
        </is>
      </c>
      <c r="O27" s="32" t="n"/>
      <c r="P27" s="64" t="n">
        <v>4.4</v>
      </c>
      <c r="Q27" s="63" t="n">
        <v>894</v>
      </c>
      <c r="R27" s="63" t="n">
        <v>98970</v>
      </c>
      <c r="S27" s="63"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59" t="n">
        <v>84.98999999999999</v>
      </c>
      <c r="H28" s="32" t="inlineStr">
        <is>
          <t>Helium 10 Xray, 2026-10-13</t>
        </is>
      </c>
      <c r="I28" s="60" t="n">
        <v>69.98999999999999</v>
      </c>
      <c r="J28" s="61" t="inlineStr">
        <is>
          <t>2026-03-30</t>
        </is>
      </c>
      <c r="K28" s="33" t="n">
        <v>20.58</v>
      </c>
      <c r="L28" s="62" t="n">
        <v>0.2940420060008573</v>
      </c>
      <c r="M28" s="63" t="n">
        <v>11</v>
      </c>
      <c r="N28" s="32" t="inlineStr">
        <is>
          <t>Active</t>
        </is>
      </c>
      <c r="O28" s="32" t="n"/>
      <c r="P28" s="64" t="n">
        <v>4.4</v>
      </c>
      <c r="Q28" s="63" t="n">
        <v>894</v>
      </c>
      <c r="R28" s="63" t="n">
        <v>98970</v>
      </c>
      <c r="S28" s="63"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59" t="n">
        <v>79.98999999999999</v>
      </c>
      <c r="H29" s="32" t="inlineStr">
        <is>
          <t>Helium 10 Xray, 2026-10-13</t>
        </is>
      </c>
      <c r="I29" s="60" t="n">
        <v>64.98999999999999</v>
      </c>
      <c r="J29" s="61" t="inlineStr">
        <is>
          <t>2026-03-28</t>
        </is>
      </c>
      <c r="K29" s="33" t="n">
        <v>20.55</v>
      </c>
      <c r="L29" s="62" t="n">
        <v>0.3162024926911832</v>
      </c>
      <c r="M29" s="63" t="n">
        <v>10</v>
      </c>
      <c r="N29" s="32" t="inlineStr">
        <is>
          <t>Active</t>
        </is>
      </c>
      <c r="O29" s="32" t="n"/>
      <c r="P29" s="64" t="n">
        <v>4.4</v>
      </c>
      <c r="Q29" s="63" t="n">
        <v>894</v>
      </c>
      <c r="R29" s="63" t="n">
        <v>98970</v>
      </c>
      <c r="S29" s="63"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59" t="n">
        <v>59.99</v>
      </c>
      <c r="H30" s="32" t="inlineStr">
        <is>
          <t>Helium 10 Xray, 2026-10-13</t>
        </is>
      </c>
      <c r="I30" s="60" t="n">
        <v>49.99</v>
      </c>
      <c r="J30" s="61" t="inlineStr">
        <is>
          <t>2026-03-30</t>
        </is>
      </c>
      <c r="K30" s="33" t="n">
        <v>13.45</v>
      </c>
      <c r="L30" s="62" t="n">
        <v>0.2690538107621524</v>
      </c>
      <c r="M30" s="63" t="n">
        <v>10</v>
      </c>
      <c r="N30" s="32" t="inlineStr">
        <is>
          <t>Active</t>
        </is>
      </c>
      <c r="O30" s="32" t="n"/>
      <c r="P30" s="64" t="n">
        <v>4.4</v>
      </c>
      <c r="Q30" s="63" t="n">
        <v>894</v>
      </c>
      <c r="R30" s="63" t="n">
        <v>98970</v>
      </c>
      <c r="S30" s="63"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59" t="n">
        <v>79.98999999999999</v>
      </c>
      <c r="H31" s="32" t="inlineStr">
        <is>
          <t>Helium 10 Xray, 2026-10-13</t>
        </is>
      </c>
      <c r="I31" s="60" t="n">
        <v>64.98999999999999</v>
      </c>
      <c r="J31" s="61" t="inlineStr">
        <is>
          <t>2026-03-30</t>
        </is>
      </c>
      <c r="K31" s="33" t="n">
        <v>20.31999999999999</v>
      </c>
      <c r="L31" s="62" t="n">
        <v>0.31266348669026</v>
      </c>
      <c r="M31" s="63" t="n">
        <v>8</v>
      </c>
      <c r="N31" s="32" t="inlineStr">
        <is>
          <t>Active</t>
        </is>
      </c>
      <c r="O31" s="32" t="n"/>
      <c r="P31" s="64" t="n">
        <v>4.4</v>
      </c>
      <c r="Q31" s="63" t="n">
        <v>894</v>
      </c>
      <c r="R31" s="63" t="n">
        <v>98965</v>
      </c>
      <c r="S31" s="63"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59" t="n">
        <v>79.98999999999999</v>
      </c>
      <c r="H32" s="32" t="inlineStr">
        <is>
          <t>Helium 10 Xray, 2026-10-13</t>
        </is>
      </c>
      <c r="I32" s="60" t="n">
        <v>64.98999999999999</v>
      </c>
      <c r="J32" s="61" t="inlineStr">
        <is>
          <t>2026-03-30</t>
        </is>
      </c>
      <c r="K32" s="33" t="n">
        <v>20.46999999999999</v>
      </c>
      <c r="L32" s="62" t="n">
        <v>0.3149715340821664</v>
      </c>
      <c r="M32" s="63" t="n">
        <v>8</v>
      </c>
      <c r="N32" s="32" t="inlineStr">
        <is>
          <t>Active</t>
        </is>
      </c>
      <c r="O32" s="32" t="n"/>
      <c r="P32" s="64" t="n">
        <v>4.4</v>
      </c>
      <c r="Q32" s="63" t="n">
        <v>894</v>
      </c>
      <c r="R32" s="63" t="n">
        <v>98970</v>
      </c>
      <c r="S32" s="63"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59" t="n">
        <v>59.99</v>
      </c>
      <c r="H33" s="32" t="inlineStr">
        <is>
          <t>Helium 10 Xray, 2026-10-13</t>
        </is>
      </c>
      <c r="I33" s="60" t="n">
        <v>49.99</v>
      </c>
      <c r="J33" s="61" t="inlineStr">
        <is>
          <t>2026-03-30</t>
        </is>
      </c>
      <c r="K33" s="33" t="n">
        <v>13.45</v>
      </c>
      <c r="L33" s="62" t="n">
        <v>0.2690538107621524</v>
      </c>
      <c r="M33" s="63" t="n">
        <v>8</v>
      </c>
      <c r="N33" s="32" t="inlineStr">
        <is>
          <t>Active</t>
        </is>
      </c>
      <c r="O33" s="32" t="n"/>
      <c r="P33" s="64" t="n">
        <v>4.4</v>
      </c>
      <c r="Q33" s="63" t="n">
        <v>894</v>
      </c>
      <c r="R33" s="63" t="n">
        <v>98970</v>
      </c>
      <c r="S33" s="63"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59" t="n">
        <v>79.98999999999999</v>
      </c>
      <c r="H34" s="32" t="inlineStr">
        <is>
          <t>Helium 10 Xray, 2026-10-13</t>
        </is>
      </c>
      <c r="I34" s="60" t="n">
        <v>64.98999999999999</v>
      </c>
      <c r="J34" s="61" t="inlineStr">
        <is>
          <t>2026-03-30</t>
        </is>
      </c>
      <c r="K34" s="33" t="n">
        <v>20.63</v>
      </c>
      <c r="L34" s="62" t="n">
        <v>0.3174334513002</v>
      </c>
      <c r="M34" s="63" t="n">
        <v>7</v>
      </c>
      <c r="N34" s="32" t="inlineStr">
        <is>
          <t>Active</t>
        </is>
      </c>
      <c r="O34" s="32" t="n"/>
      <c r="P34" s="64" t="n">
        <v>4.4</v>
      </c>
      <c r="Q34" s="63" t="n">
        <v>894</v>
      </c>
      <c r="R34" s="63" t="n">
        <v>98970</v>
      </c>
      <c r="S34" s="63"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59" t="n">
        <v>79.98999999999999</v>
      </c>
      <c r="H35" s="32" t="inlineStr">
        <is>
          <t>Helium 10 Xray, 2026-10-13</t>
        </is>
      </c>
      <c r="I35" s="60" t="n">
        <v>64.98999999999999</v>
      </c>
      <c r="J35" s="61" t="inlineStr">
        <is>
          <t>2026-03-30</t>
        </is>
      </c>
      <c r="K35" s="33" t="n">
        <v>20.55</v>
      </c>
      <c r="L35" s="62" t="n">
        <v>0.3162024926911832</v>
      </c>
      <c r="M35" s="63" t="n">
        <v>7</v>
      </c>
      <c r="N35" s="32" t="inlineStr">
        <is>
          <t>Active</t>
        </is>
      </c>
      <c r="O35" s="32" t="n"/>
      <c r="P35" s="64" t="n">
        <v>4.4</v>
      </c>
      <c r="Q35" s="63" t="n">
        <v>894</v>
      </c>
      <c r="R35" s="63" t="n">
        <v>98965</v>
      </c>
      <c r="S35" s="63"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59" t="n">
        <v>64.98999999999999</v>
      </c>
      <c r="H36" s="32" t="inlineStr">
        <is>
          <t>Helium 10 Xray, 2026-10-13</t>
        </is>
      </c>
      <c r="I36" s="60" t="n">
        <v>54.99</v>
      </c>
      <c r="J36" s="61" t="inlineStr">
        <is>
          <t>2026-03-30</t>
        </is>
      </c>
      <c r="K36" s="33" t="n">
        <v>13.3</v>
      </c>
      <c r="L36" s="62" t="n">
        <v>0.2418621567557738</v>
      </c>
      <c r="M36" s="63" t="n">
        <v>6</v>
      </c>
      <c r="N36" s="32" t="inlineStr">
        <is>
          <t>Active</t>
        </is>
      </c>
      <c r="O36" s="32" t="n"/>
      <c r="P36" s="64" t="n">
        <v>4.4</v>
      </c>
      <c r="Q36" s="63" t="n">
        <v>894</v>
      </c>
      <c r="R36" s="63" t="n">
        <v>98970</v>
      </c>
      <c r="S36" s="63"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59" t="n">
        <v>64.98999999999999</v>
      </c>
      <c r="H37" s="32" t="inlineStr">
        <is>
          <t>Helium 10 Xray, 2026-10-13</t>
        </is>
      </c>
      <c r="I37" s="60" t="n">
        <v>59.99</v>
      </c>
      <c r="J37" s="61" t="inlineStr">
        <is>
          <t>2026-03-30</t>
        </is>
      </c>
      <c r="K37" s="33" t="n">
        <v>17.47</v>
      </c>
      <c r="L37" s="62" t="n">
        <v>0.2912152025337557</v>
      </c>
      <c r="M37" s="63" t="n">
        <v>6</v>
      </c>
      <c r="N37" s="32" t="inlineStr">
        <is>
          <t>Active</t>
        </is>
      </c>
      <c r="O37" s="32" t="n"/>
      <c r="P37" s="64" t="n">
        <v>4.4</v>
      </c>
      <c r="Q37" s="63" t="n">
        <v>894</v>
      </c>
      <c r="R37" s="63" t="n">
        <v>98970</v>
      </c>
      <c r="S37" s="63"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59" t="n">
        <v>79.98999999999999</v>
      </c>
      <c r="H38" s="32" t="inlineStr">
        <is>
          <t>Helium 10 Xray, 2026-10-13</t>
        </is>
      </c>
      <c r="I38" s="60" t="n">
        <v>64.98999999999999</v>
      </c>
      <c r="J38" s="61" t="inlineStr">
        <is>
          <t>2026-03-30</t>
        </is>
      </c>
      <c r="K38" s="33" t="n">
        <v>20.63</v>
      </c>
      <c r="L38" s="62" t="n">
        <v>0.3174334513002</v>
      </c>
      <c r="M38" s="63" t="n">
        <v>6</v>
      </c>
      <c r="N38" s="32" t="inlineStr">
        <is>
          <t>Active</t>
        </is>
      </c>
      <c r="O38" s="32" t="n"/>
      <c r="P38" s="64" t="n">
        <v>4.4</v>
      </c>
      <c r="Q38" s="63" t="n">
        <v>894</v>
      </c>
      <c r="R38" s="63" t="n">
        <v>98970</v>
      </c>
      <c r="S38" s="63"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59" t="n">
        <v>59.99</v>
      </c>
      <c r="H39" s="32" t="inlineStr">
        <is>
          <t>Helium 10 Xray, 2026-10-13</t>
        </is>
      </c>
      <c r="I39" s="60" t="n">
        <v>49.99</v>
      </c>
      <c r="J39" s="61" t="inlineStr">
        <is>
          <t>2026-03-30</t>
        </is>
      </c>
      <c r="K39" s="33" t="n">
        <v>13.53</v>
      </c>
      <c r="L39" s="62" t="n">
        <v>0.2706541308261653</v>
      </c>
      <c r="M39" s="63" t="n">
        <v>6</v>
      </c>
      <c r="N39" s="32" t="inlineStr">
        <is>
          <t>Active</t>
        </is>
      </c>
      <c r="O39" s="32" t="n"/>
      <c r="P39" s="64" t="n">
        <v>4.4</v>
      </c>
      <c r="Q39" s="63" t="n">
        <v>894</v>
      </c>
      <c r="R39" s="63" t="n">
        <v>98970</v>
      </c>
      <c r="S39" s="63"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59" t="n">
        <v>84.98999999999999</v>
      </c>
      <c r="H40" s="32" t="inlineStr">
        <is>
          <t>Helium 10 Xray, 2026-10-13</t>
        </is>
      </c>
      <c r="I40" s="60" t="n">
        <v>69.98999999999999</v>
      </c>
      <c r="J40" s="61" t="inlineStr">
        <is>
          <t>2026-03-30</t>
        </is>
      </c>
      <c r="K40" s="33" t="n">
        <v>19.73</v>
      </c>
      <c r="L40" s="62" t="n">
        <v>0.2818974139162737</v>
      </c>
      <c r="M40" s="63" t="n">
        <v>5</v>
      </c>
      <c r="N40" s="32" t="inlineStr">
        <is>
          <t>Active</t>
        </is>
      </c>
      <c r="O40" s="32" t="n"/>
      <c r="P40" s="64" t="n">
        <v>4.4</v>
      </c>
      <c r="Q40" s="63" t="n">
        <v>894</v>
      </c>
      <c r="R40" s="63" t="n">
        <v>98970</v>
      </c>
      <c r="S40" s="63"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59" t="n">
        <v>64.98999999999999</v>
      </c>
      <c r="H41" s="32" t="inlineStr">
        <is>
          <t>Helium 10 Xray, 2026-10-13</t>
        </is>
      </c>
      <c r="I41" s="60" t="n">
        <v>54.99</v>
      </c>
      <c r="J41" s="61" t="inlineStr">
        <is>
          <t>2026-03-30</t>
        </is>
      </c>
      <c r="K41" s="33" t="n">
        <v>13.22</v>
      </c>
      <c r="L41" s="62" t="n">
        <v>0.2404073467903255</v>
      </c>
      <c r="M41" s="63" t="n">
        <v>5</v>
      </c>
      <c r="N41" s="32" t="inlineStr">
        <is>
          <t>Active</t>
        </is>
      </c>
      <c r="O41" s="32" t="n"/>
      <c r="P41" s="64" t="n">
        <v>4.4</v>
      </c>
      <c r="Q41" s="63" t="n">
        <v>894</v>
      </c>
      <c r="R41" s="63" t="n">
        <v>98970</v>
      </c>
      <c r="S41" s="63"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0" t="n">
        <v>59.99</v>
      </c>
      <c r="J42" s="61" t="inlineStr">
        <is>
          <t>2026-03-30</t>
        </is>
      </c>
      <c r="K42" s="33" t="n">
        <v>17.35</v>
      </c>
      <c r="L42" s="62" t="n">
        <v>0.2892148691448574</v>
      </c>
      <c r="M42" s="63" t="n">
        <v>5</v>
      </c>
      <c r="N42" s="32" t="inlineStr">
        <is>
          <t>Inactive</t>
        </is>
      </c>
      <c r="O42" s="32" t="n"/>
      <c r="P42" s="64" t="n"/>
      <c r="Q42" s="63" t="n"/>
      <c r="R42" s="63" t="n"/>
      <c r="S42" s="63"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59" t="n">
        <v>64.98999999999999</v>
      </c>
      <c r="H43" s="32" t="inlineStr">
        <is>
          <t>Helium 10 Xray, 2026-10-13</t>
        </is>
      </c>
      <c r="I43" s="60" t="n">
        <v>59.99</v>
      </c>
      <c r="J43" s="61" t="inlineStr">
        <is>
          <t>2026-03-30</t>
        </is>
      </c>
      <c r="K43" s="33" t="n">
        <v>17.47</v>
      </c>
      <c r="L43" s="62" t="n">
        <v>0.2912152025337557</v>
      </c>
      <c r="M43" s="63" t="n">
        <v>5</v>
      </c>
      <c r="N43" s="32" t="inlineStr">
        <is>
          <t>Active</t>
        </is>
      </c>
      <c r="O43" s="32" t="n"/>
      <c r="P43" s="64" t="n">
        <v>4.4</v>
      </c>
      <c r="Q43" s="63" t="n">
        <v>894</v>
      </c>
      <c r="R43" s="63" t="n">
        <v>98970</v>
      </c>
      <c r="S43" s="63"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59" t="n">
        <v>79.98999999999999</v>
      </c>
      <c r="H44" s="32" t="inlineStr">
        <is>
          <t>Helium 10 Xray, 2026-10-13</t>
        </is>
      </c>
      <c r="I44" s="60" t="n">
        <v>64.98999999999999</v>
      </c>
      <c r="J44" s="61" t="inlineStr">
        <is>
          <t>2026-03-30</t>
        </is>
      </c>
      <c r="K44" s="33" t="n">
        <v>20.55</v>
      </c>
      <c r="L44" s="62" t="n">
        <v>0.3162024926911832</v>
      </c>
      <c r="M44" s="63" t="n">
        <v>5</v>
      </c>
      <c r="N44" s="32" t="inlineStr">
        <is>
          <t>Active</t>
        </is>
      </c>
      <c r="O44" s="32" t="inlineStr">
        <is>
          <t>Yes (7%)</t>
        </is>
      </c>
      <c r="P44" s="64" t="n">
        <v>4.4</v>
      </c>
      <c r="Q44" s="63" t="n">
        <v>894</v>
      </c>
      <c r="R44" s="63" t="n">
        <v>98970</v>
      </c>
      <c r="S44" s="63"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59" t="n">
        <v>84.98999999999999</v>
      </c>
      <c r="H45" s="32" t="inlineStr">
        <is>
          <t>Helium 10 Xray, 2026-10-13</t>
        </is>
      </c>
      <c r="I45" s="60" t="n">
        <v>69.98999999999999</v>
      </c>
      <c r="J45" s="61" t="inlineStr">
        <is>
          <t>2026-03-30</t>
        </is>
      </c>
      <c r="K45" s="33" t="n">
        <v>19.65</v>
      </c>
      <c r="L45" s="62" t="n">
        <v>0.2807543934847835</v>
      </c>
      <c r="M45" s="63" t="n">
        <v>4</v>
      </c>
      <c r="N45" s="32" t="inlineStr">
        <is>
          <t>Active</t>
        </is>
      </c>
      <c r="O45" s="32" t="n"/>
      <c r="P45" s="64" t="n">
        <v>4.4</v>
      </c>
      <c r="Q45" s="63" t="n">
        <v>894</v>
      </c>
      <c r="R45" s="63" t="n">
        <v>98970</v>
      </c>
      <c r="S45" s="63"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59" t="n">
        <v>64.98999999999999</v>
      </c>
      <c r="H46" s="32" t="inlineStr">
        <is>
          <t>Helium 10 Xray, 2026-10-13</t>
        </is>
      </c>
      <c r="I46" s="60" t="n">
        <v>59.99</v>
      </c>
      <c r="J46" s="61" t="inlineStr">
        <is>
          <t>2026-03-30</t>
        </is>
      </c>
      <c r="K46" s="33" t="n">
        <v>17.47</v>
      </c>
      <c r="L46" s="62" t="n">
        <v>0.2912152025337557</v>
      </c>
      <c r="M46" s="63" t="n">
        <v>4</v>
      </c>
      <c r="N46" s="32" t="inlineStr">
        <is>
          <t>Active</t>
        </is>
      </c>
      <c r="O46" s="32" t="n"/>
      <c r="P46" s="64" t="n">
        <v>4.4</v>
      </c>
      <c r="Q46" s="63" t="n">
        <v>894</v>
      </c>
      <c r="R46" s="63" t="n">
        <v>98970</v>
      </c>
      <c r="S46" s="63"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59" t="n">
        <v>84.98999999999999</v>
      </c>
      <c r="H47" s="32" t="inlineStr">
        <is>
          <t>Helium 10 Xray, 2026-10-13</t>
        </is>
      </c>
      <c r="I47" s="60" t="n">
        <v>76.98999999999999</v>
      </c>
      <c r="J47" s="61" t="inlineStr">
        <is>
          <t>2026-03-30</t>
        </is>
      </c>
      <c r="K47" s="33" t="n">
        <v>25.68</v>
      </c>
      <c r="L47" s="62" t="n">
        <v>0.3335498116638524</v>
      </c>
      <c r="M47" s="63" t="n">
        <v>3</v>
      </c>
      <c r="N47" s="32" t="inlineStr">
        <is>
          <t>Active</t>
        </is>
      </c>
      <c r="O47" s="32" t="n"/>
      <c r="P47" s="64" t="n">
        <v>4.4</v>
      </c>
      <c r="Q47" s="63" t="n">
        <v>894</v>
      </c>
      <c r="R47" s="63" t="n">
        <v>98970</v>
      </c>
      <c r="S47" s="63"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59" t="n">
        <v>64.98999999999999</v>
      </c>
      <c r="H48" s="32" t="inlineStr">
        <is>
          <t>Helium 10 Xray, 2026-10-13</t>
        </is>
      </c>
      <c r="I48" s="60" t="n">
        <v>54.99</v>
      </c>
      <c r="J48" s="61" t="inlineStr">
        <is>
          <t>2026-03-30</t>
        </is>
      </c>
      <c r="K48" s="33" t="n">
        <v>13.38000000000001</v>
      </c>
      <c r="L48" s="62" t="n">
        <v>0.2433169667212221</v>
      </c>
      <c r="M48" s="63" t="n">
        <v>3</v>
      </c>
      <c r="N48" s="32" t="inlineStr">
        <is>
          <t>Active</t>
        </is>
      </c>
      <c r="O48" s="32" t="n"/>
      <c r="P48" s="64" t="n">
        <v>4.4</v>
      </c>
      <c r="Q48" s="63" t="n">
        <v>894</v>
      </c>
      <c r="R48" s="63" t="n">
        <v>98970</v>
      </c>
      <c r="S48" s="63"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59" t="n">
        <v>64.98999999999999</v>
      </c>
      <c r="H49" s="32" t="inlineStr">
        <is>
          <t>Helium 10 Xray, 2026-10-13</t>
        </is>
      </c>
      <c r="I49" s="60" t="n">
        <v>54.99</v>
      </c>
      <c r="J49" s="61" t="inlineStr">
        <is>
          <t>2026-03-30</t>
        </is>
      </c>
      <c r="K49" s="33" t="n">
        <v>13.3</v>
      </c>
      <c r="L49" s="62" t="n">
        <v>0.2418621567557738</v>
      </c>
      <c r="M49" s="63" t="n">
        <v>3</v>
      </c>
      <c r="N49" s="32" t="inlineStr">
        <is>
          <t>Active</t>
        </is>
      </c>
      <c r="O49" s="32" t="n"/>
      <c r="P49" s="64" t="n">
        <v>4.4</v>
      </c>
      <c r="Q49" s="63" t="n">
        <v>894</v>
      </c>
      <c r="R49" s="63" t="n">
        <v>98970</v>
      </c>
      <c r="S49" s="63"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59" t="n">
        <v>64.98999999999999</v>
      </c>
      <c r="H50" s="32" t="inlineStr">
        <is>
          <t>Helium 10 Xray, 2026-10-13</t>
        </is>
      </c>
      <c r="I50" s="60" t="n">
        <v>59.99</v>
      </c>
      <c r="J50" s="61" t="inlineStr">
        <is>
          <t>2026-03-30</t>
        </is>
      </c>
      <c r="K50" s="33" t="n">
        <v>17.55</v>
      </c>
      <c r="L50" s="62" t="n">
        <v>0.2925487581263544</v>
      </c>
      <c r="M50" s="63" t="n">
        <v>3</v>
      </c>
      <c r="N50" s="32" t="inlineStr">
        <is>
          <t>Active</t>
        </is>
      </c>
      <c r="O50" s="32" t="n"/>
      <c r="P50" s="64" t="n">
        <v>4.4</v>
      </c>
      <c r="Q50" s="63" t="n">
        <v>894</v>
      </c>
      <c r="R50" s="63" t="n">
        <v>98970</v>
      </c>
      <c r="S50" s="63"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59" t="n">
        <v>84.98999999999999</v>
      </c>
      <c r="H51" s="32" t="inlineStr">
        <is>
          <t>Helium 10 Xray, 2026-10-13</t>
        </is>
      </c>
      <c r="I51" s="60" t="n">
        <v>69.98999999999999</v>
      </c>
      <c r="J51" s="61" t="inlineStr">
        <is>
          <t>2026-03-30</t>
        </is>
      </c>
      <c r="K51" s="33" t="n">
        <v>19.73</v>
      </c>
      <c r="L51" s="62" t="n">
        <v>0.2818974139162737</v>
      </c>
      <c r="M51" s="63" t="n">
        <v>2</v>
      </c>
      <c r="N51" s="32" t="inlineStr">
        <is>
          <t>Active</t>
        </is>
      </c>
      <c r="O51" s="32" t="n"/>
      <c r="P51" s="64" t="n">
        <v>4.4</v>
      </c>
      <c r="Q51" s="63" t="n">
        <v>894</v>
      </c>
      <c r="R51" s="63" t="n">
        <v>98970</v>
      </c>
      <c r="S51" s="63"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59" t="n">
        <v>84.98999999999999</v>
      </c>
      <c r="H52" s="32" t="inlineStr">
        <is>
          <t>Helium 10 Xray, 2026-10-13</t>
        </is>
      </c>
      <c r="I52" s="60" t="n">
        <v>69.98999999999999</v>
      </c>
      <c r="J52" s="61" t="inlineStr">
        <is>
          <t>2026-03-30</t>
        </is>
      </c>
      <c r="K52" s="33" t="n">
        <v>19.73</v>
      </c>
      <c r="L52" s="62" t="n">
        <v>0.2818974139162737</v>
      </c>
      <c r="M52" s="63" t="n">
        <v>2</v>
      </c>
      <c r="N52" s="32" t="inlineStr">
        <is>
          <t>Active</t>
        </is>
      </c>
      <c r="O52" s="32" t="n"/>
      <c r="P52" s="64" t="n">
        <v>4.4</v>
      </c>
      <c r="Q52" s="63" t="n">
        <v>894</v>
      </c>
      <c r="R52" s="63" t="n">
        <v>98970</v>
      </c>
      <c r="S52" s="63"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0" t="n">
        <v>59.99</v>
      </c>
      <c r="J53" s="61" t="inlineStr">
        <is>
          <t>2026-03-30</t>
        </is>
      </c>
      <c r="K53" s="33" t="n">
        <v>17.47</v>
      </c>
      <c r="L53" s="62" t="n">
        <v>0.2912152025337557</v>
      </c>
      <c r="M53" s="63" t="n">
        <v>2</v>
      </c>
      <c r="N53" s="32" t="inlineStr">
        <is>
          <t>Inactive</t>
        </is>
      </c>
      <c r="O53" s="32" t="n"/>
      <c r="P53" s="64" t="n"/>
      <c r="Q53" s="63" t="n"/>
      <c r="R53" s="63" t="n"/>
      <c r="S53" s="63"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59" t="n">
        <v>84.98999999999999</v>
      </c>
      <c r="H54" s="32" t="inlineStr">
        <is>
          <t>Helium 10 Xray, 2026-10-13</t>
        </is>
      </c>
      <c r="I54" s="60" t="n">
        <v>76.98999999999999</v>
      </c>
      <c r="J54" s="61" t="inlineStr">
        <is>
          <t>2026-03-30</t>
        </is>
      </c>
      <c r="K54" s="33" t="n">
        <v>26.69</v>
      </c>
      <c r="L54" s="62" t="n">
        <v>0.3466683984933108</v>
      </c>
      <c r="M54" s="63" t="n">
        <v>2</v>
      </c>
      <c r="N54" s="32" t="inlineStr">
        <is>
          <t>Active</t>
        </is>
      </c>
      <c r="O54" s="32" t="n"/>
      <c r="P54" s="64" t="n">
        <v>4.4</v>
      </c>
      <c r="Q54" s="63" t="n">
        <v>894</v>
      </c>
      <c r="R54" s="63" t="n">
        <v>98970</v>
      </c>
      <c r="S54" s="63"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59" t="n">
        <v>59.99</v>
      </c>
      <c r="H55" s="32" t="inlineStr">
        <is>
          <t>Helium 10 Xray, 2026-10-13</t>
        </is>
      </c>
      <c r="I55" s="60" t="n">
        <v>49.99</v>
      </c>
      <c r="J55" s="61" t="inlineStr">
        <is>
          <t>2026-03-30</t>
        </is>
      </c>
      <c r="K55" s="33" t="n">
        <v>13.53</v>
      </c>
      <c r="L55" s="62" t="n">
        <v>0.2706541308261653</v>
      </c>
      <c r="M55" s="63" t="n">
        <v>2</v>
      </c>
      <c r="N55" s="32" t="inlineStr">
        <is>
          <t>Active</t>
        </is>
      </c>
      <c r="O55" s="32" t="n"/>
      <c r="P55" s="64" t="n">
        <v>4.4</v>
      </c>
      <c r="Q55" s="63" t="n">
        <v>894</v>
      </c>
      <c r="R55" s="63" t="n">
        <v>98965</v>
      </c>
      <c r="S55" s="63"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59" t="n">
        <v>59.99</v>
      </c>
      <c r="H56" s="32" t="inlineStr">
        <is>
          <t>Helium 10 Xray, 2026-10-13</t>
        </is>
      </c>
      <c r="I56" s="60" t="n">
        <v>49.99</v>
      </c>
      <c r="J56" s="61" t="inlineStr">
        <is>
          <t>2026-03-30</t>
        </is>
      </c>
      <c r="K56" s="33" t="n">
        <v>13.37</v>
      </c>
      <c r="L56" s="62" t="n">
        <v>0.2674534906981397</v>
      </c>
      <c r="M56" s="63" t="n">
        <v>2</v>
      </c>
      <c r="N56" s="32" t="inlineStr">
        <is>
          <t>Active</t>
        </is>
      </c>
      <c r="O56" s="32" t="n"/>
      <c r="P56" s="64" t="n">
        <v>4.4</v>
      </c>
      <c r="Q56" s="63" t="n">
        <v>894</v>
      </c>
      <c r="R56" s="63" t="n">
        <v>98970</v>
      </c>
      <c r="S56" s="63"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0" t="n">
        <v>69.98999999999999</v>
      </c>
      <c r="J57" s="61" t="inlineStr">
        <is>
          <t>2026-03-30</t>
        </is>
      </c>
      <c r="K57" s="33" t="n">
        <v>19.73</v>
      </c>
      <c r="L57" s="62" t="n">
        <v>0.2818974139162737</v>
      </c>
      <c r="M57" s="63" t="n">
        <v>1</v>
      </c>
      <c r="N57" s="32" t="inlineStr">
        <is>
          <t>Inactive</t>
        </is>
      </c>
      <c r="O57" s="32" t="n"/>
      <c r="P57" s="64" t="n"/>
      <c r="Q57" s="63" t="n"/>
      <c r="R57" s="63" t="n"/>
      <c r="S57" s="63"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59" t="n">
        <v>64.98999999999999</v>
      </c>
      <c r="H58" s="32" t="inlineStr">
        <is>
          <t>Helium 10 Xray, 2026-10-13</t>
        </is>
      </c>
      <c r="I58" s="60" t="n">
        <v>54.99</v>
      </c>
      <c r="J58" s="61" t="inlineStr">
        <is>
          <t>2026-03-30</t>
        </is>
      </c>
      <c r="K58" s="33" t="n">
        <v>13.3</v>
      </c>
      <c r="L58" s="62" t="n">
        <v>0.2418621567557738</v>
      </c>
      <c r="M58" s="63" t="n">
        <v>1</v>
      </c>
      <c r="N58" s="32" t="inlineStr">
        <is>
          <t>Active</t>
        </is>
      </c>
      <c r="O58" s="32" t="n"/>
      <c r="P58" s="64" t="n">
        <v>4.4</v>
      </c>
      <c r="Q58" s="63" t="n">
        <v>894</v>
      </c>
      <c r="R58" s="63" t="n">
        <v>98970</v>
      </c>
      <c r="S58" s="63"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0" t="n">
        <v>76.98999999999999</v>
      </c>
      <c r="J59" s="61" t="inlineStr">
        <is>
          <t>2026-03-30</t>
        </is>
      </c>
      <c r="K59" s="33" t="n">
        <v>26.61</v>
      </c>
      <c r="L59" s="62" t="n">
        <v>0.3456293025068191</v>
      </c>
      <c r="M59" s="63" t="n">
        <v>1</v>
      </c>
      <c r="N59" s="32" t="inlineStr">
        <is>
          <t>Inactive</t>
        </is>
      </c>
      <c r="O59" s="32" t="n"/>
      <c r="P59" s="64" t="n"/>
      <c r="Q59" s="63" t="n"/>
      <c r="R59" s="63" t="n"/>
      <c r="S59" s="63"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59" t="n">
        <v>59.99</v>
      </c>
      <c r="H60" s="32" t="inlineStr">
        <is>
          <t>Helium 10 Xray, 2026-10-13</t>
        </is>
      </c>
      <c r="I60" s="60" t="n">
        <v>49.99</v>
      </c>
      <c r="J60" s="61" t="inlineStr">
        <is>
          <t>2026-03-30</t>
        </is>
      </c>
      <c r="K60" s="33" t="n">
        <v>13.37</v>
      </c>
      <c r="L60" s="62" t="n">
        <v>0.2674534906981397</v>
      </c>
      <c r="M60" s="63" t="n">
        <v>1</v>
      </c>
      <c r="N60" s="32" t="inlineStr">
        <is>
          <t>Active</t>
        </is>
      </c>
      <c r="O60" s="32" t="n"/>
      <c r="P60" s="64" t="n">
        <v>4.4</v>
      </c>
      <c r="Q60" s="63" t="n">
        <v>894</v>
      </c>
      <c r="R60" s="63" t="n">
        <v>98970</v>
      </c>
      <c r="S60" s="63"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0" t="n">
        <v>49.99</v>
      </c>
      <c r="J61" s="61" t="inlineStr">
        <is>
          <t>2026-03-30</t>
        </is>
      </c>
      <c r="K61" s="33" t="n">
        <v>13.53</v>
      </c>
      <c r="L61" s="62" t="n">
        <v>0.2706541308261653</v>
      </c>
      <c r="M61" s="63" t="n">
        <v>1</v>
      </c>
      <c r="N61" s="32" t="inlineStr">
        <is>
          <t>Inactive</t>
        </is>
      </c>
      <c r="O61" s="32" t="n"/>
      <c r="P61" s="64" t="n"/>
      <c r="Q61" s="63" t="n"/>
      <c r="R61" s="63" t="n"/>
      <c r="S61" s="63"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0" t="n">
        <v>69.98999999999999</v>
      </c>
      <c r="J62" s="61" t="inlineStr">
        <is>
          <t>2026-03-30</t>
        </is>
      </c>
      <c r="K62" s="33" t="n">
        <v>19.73</v>
      </c>
      <c r="L62" s="62" t="n">
        <v>0.2818974139162737</v>
      </c>
      <c r="M62" s="63" t="n"/>
      <c r="N62" s="32" t="inlineStr">
        <is>
          <t>Inactive</t>
        </is>
      </c>
      <c r="O62" s="32" t="n"/>
      <c r="P62" s="64" t="n"/>
      <c r="Q62" s="63" t="n"/>
      <c r="R62" s="63" t="n"/>
      <c r="S62" s="63"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0" t="n">
        <v>69.98999999999999</v>
      </c>
      <c r="J63" s="61" t="inlineStr">
        <is>
          <t>2026-03-30</t>
        </is>
      </c>
      <c r="K63" s="33" t="n">
        <v>19.57999999999999</v>
      </c>
      <c r="L63" s="62" t="n">
        <v>0.2797542506072295</v>
      </c>
      <c r="M63" s="63" t="n"/>
      <c r="N63" s="32" t="inlineStr">
        <is>
          <t>Inactive</t>
        </is>
      </c>
      <c r="O63" s="32" t="n"/>
      <c r="P63" s="64" t="n"/>
      <c r="Q63" s="63" t="n"/>
      <c r="R63" s="63" t="n"/>
      <c r="S63" s="63"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0" t="n">
        <v>69.98999999999999</v>
      </c>
      <c r="J64" s="61" t="inlineStr">
        <is>
          <t>2026-03-04</t>
        </is>
      </c>
      <c r="K64" s="33" t="n">
        <v>19.73</v>
      </c>
      <c r="L64" s="62" t="n">
        <v>0.2818974139162737</v>
      </c>
      <c r="M64" s="63" t="n"/>
      <c r="N64" s="32" t="inlineStr">
        <is>
          <t>Inactive</t>
        </is>
      </c>
      <c r="O64" s="32" t="n"/>
      <c r="P64" s="64" t="n"/>
      <c r="Q64" s="63" t="n"/>
      <c r="R64" s="63" t="n"/>
      <c r="S64" s="63"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0" t="n">
        <v>69.98999999999999</v>
      </c>
      <c r="J65" s="61" t="inlineStr">
        <is>
          <t>2026-03-30</t>
        </is>
      </c>
      <c r="K65" s="33" t="n">
        <v>19.88999999999999</v>
      </c>
      <c r="L65" s="62" t="n">
        <v>0.2841834547792541</v>
      </c>
      <c r="M65" s="63" t="n"/>
      <c r="N65" s="32" t="inlineStr">
        <is>
          <t>Inactive</t>
        </is>
      </c>
      <c r="O65" s="32" t="n"/>
      <c r="P65" s="64" t="n"/>
      <c r="Q65" s="63" t="n"/>
      <c r="R65" s="63" t="n"/>
      <c r="S65" s="63"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0" t="n">
        <v>69.98999999999999</v>
      </c>
      <c r="J66" s="61" t="inlineStr">
        <is>
          <t>2026-03-30</t>
        </is>
      </c>
      <c r="K66" s="33" t="n">
        <v>19.73</v>
      </c>
      <c r="L66" s="62" t="n">
        <v>0.2818974139162737</v>
      </c>
      <c r="M66" s="63" t="n"/>
      <c r="N66" s="32" t="inlineStr">
        <is>
          <t>Inactive</t>
        </is>
      </c>
      <c r="O66" s="32" t="n"/>
      <c r="P66" s="64" t="n"/>
      <c r="Q66" s="63" t="n"/>
      <c r="R66" s="63" t="n"/>
      <c r="S66" s="63"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59" t="n">
        <v>64.98999999999999</v>
      </c>
      <c r="H67" s="32" t="inlineStr">
        <is>
          <t>Helium 10 Xray, 2026-10-13</t>
        </is>
      </c>
      <c r="I67" s="60" t="n">
        <v>59.99</v>
      </c>
      <c r="J67" s="61" t="inlineStr">
        <is>
          <t>2026-03-30</t>
        </is>
      </c>
      <c r="K67" s="33" t="n">
        <v>17.32</v>
      </c>
      <c r="L67" s="62" t="n">
        <v>0.288714785797633</v>
      </c>
      <c r="M67" s="63" t="n">
        <v>0</v>
      </c>
      <c r="N67" s="32" t="inlineStr">
        <is>
          <t>Active</t>
        </is>
      </c>
      <c r="O67" s="32" t="n"/>
      <c r="P67" s="64" t="n">
        <v>4.4</v>
      </c>
      <c r="Q67" s="63" t="n">
        <v>894</v>
      </c>
      <c r="R67" s="63" t="n">
        <v>98970</v>
      </c>
      <c r="S67" s="63"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0" t="n">
        <v>76.98999999999999</v>
      </c>
      <c r="J68" s="61" t="inlineStr">
        <is>
          <t>2026-03-24</t>
        </is>
      </c>
      <c r="K68" s="33" t="n">
        <v>26.61</v>
      </c>
      <c r="L68" s="62" t="n">
        <v>0.3456293025068191</v>
      </c>
      <c r="M68" s="63" t="n"/>
      <c r="N68" s="32" t="inlineStr">
        <is>
          <t>Inactive</t>
        </is>
      </c>
      <c r="O68" s="32" t="n"/>
      <c r="P68" s="64" t="n"/>
      <c r="Q68" s="63" t="n"/>
      <c r="R68" s="63" t="n"/>
      <c r="S68" s="63"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2" t="n"/>
      <c r="M69" s="63" t="n"/>
      <c r="N69" s="32" t="inlineStr">
        <is>
          <t>Inactive</t>
        </is>
      </c>
      <c r="O69" s="32" t="n"/>
      <c r="P69" s="64" t="n"/>
      <c r="Q69" s="63" t="n"/>
      <c r="R69" s="63" t="n"/>
      <c r="S69" s="63"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2" t="n"/>
      <c r="M70" s="63" t="n"/>
      <c r="N70" s="32" t="inlineStr">
        <is>
          <t>Inactive</t>
        </is>
      </c>
      <c r="O70" s="32" t="n"/>
      <c r="P70" s="64" t="n"/>
      <c r="Q70" s="63" t="n"/>
      <c r="R70" s="63" t="n"/>
      <c r="S70" s="63"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0" t="n">
        <v>76.98999999999999</v>
      </c>
      <c r="J71" s="61" t="inlineStr">
        <is>
          <t>2026-03-30</t>
        </is>
      </c>
      <c r="K71" s="33" t="n">
        <v>26.53</v>
      </c>
      <c r="L71" s="62" t="n">
        <v>0.3445902065203273</v>
      </c>
      <c r="M71" s="63" t="n">
        <v>0</v>
      </c>
      <c r="N71" s="32" t="inlineStr">
        <is>
          <t>Inactive</t>
        </is>
      </c>
      <c r="O71" s="32" t="n"/>
      <c r="P71" s="64" t="n"/>
      <c r="Q71" s="63" t="n"/>
      <c r="R71" s="63" t="n"/>
      <c r="S71" s="63"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2" t="n"/>
      <c r="M72" s="63" t="n"/>
      <c r="N72" s="32" t="inlineStr">
        <is>
          <t>Inactive</t>
        </is>
      </c>
      <c r="O72" s="32" t="n"/>
      <c r="P72" s="64" t="n"/>
      <c r="Q72" s="63" t="n"/>
      <c r="R72" s="63" t="n"/>
      <c r="S72" s="63"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2" t="n"/>
      <c r="M73" s="63" t="n"/>
      <c r="N73" s="32" t="inlineStr">
        <is>
          <t>Inactive</t>
        </is>
      </c>
      <c r="O73" s="32" t="n"/>
      <c r="P73" s="64" t="n"/>
      <c r="Q73" s="63" t="n"/>
      <c r="R73" s="63" t="n"/>
      <c r="S73" s="63"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59" t="n">
        <v>59.99</v>
      </c>
      <c r="H74" s="32" t="inlineStr">
        <is>
          <t>Helium 10 Xray, 2026-10-13</t>
        </is>
      </c>
      <c r="I74" s="60" t="n">
        <v>49.99</v>
      </c>
      <c r="J74" s="61" t="inlineStr">
        <is>
          <t>2026-03-30</t>
        </is>
      </c>
      <c r="K74" s="33" t="n">
        <v>14.07</v>
      </c>
      <c r="L74" s="62" t="n">
        <v>0.2814562912582517</v>
      </c>
      <c r="M74" s="63" t="n">
        <v>0</v>
      </c>
      <c r="N74" s="32" t="inlineStr">
        <is>
          <t>Active</t>
        </is>
      </c>
      <c r="O74" s="32" t="n"/>
      <c r="P74" s="64" t="n">
        <v>4.4</v>
      </c>
      <c r="Q74" s="63" t="n">
        <v>894</v>
      </c>
      <c r="R74" s="63" t="n">
        <v>98970</v>
      </c>
      <c r="S74" s="63"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0" t="n">
        <v>56.99</v>
      </c>
      <c r="J75" s="61" t="inlineStr">
        <is>
          <t>2026-03-30</t>
        </is>
      </c>
      <c r="K75" s="33" t="n">
        <v>19.06</v>
      </c>
      <c r="L75" s="62" t="n">
        <v>0.3344446394104228</v>
      </c>
      <c r="M75" s="63" t="n">
        <v>0</v>
      </c>
      <c r="N75" s="32" t="inlineStr">
        <is>
          <t>Inactive</t>
        </is>
      </c>
      <c r="O75" s="32" t="n"/>
      <c r="P75" s="64" t="n"/>
      <c r="Q75" s="63" t="n"/>
      <c r="R75" s="63" t="n"/>
      <c r="S75" s="63"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0" t="n">
        <v>49.99</v>
      </c>
      <c r="J76" s="61" t="inlineStr">
        <is>
          <t>2026-03-30</t>
        </is>
      </c>
      <c r="K76" s="33" t="n">
        <v>13.53</v>
      </c>
      <c r="L76" s="62" t="n">
        <v>0.2706541308261653</v>
      </c>
      <c r="M76" s="63" t="n"/>
      <c r="N76" s="32" t="inlineStr">
        <is>
          <t>Inactive</t>
        </is>
      </c>
      <c r="O76" s="32" t="n"/>
      <c r="P76" s="64" t="n"/>
      <c r="Q76" s="63" t="n"/>
      <c r="R76" s="63" t="n"/>
      <c r="S76" s="63"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0" t="n">
        <v>49.99</v>
      </c>
      <c r="J77" s="61" t="inlineStr">
        <is>
          <t>2026-03-30</t>
        </is>
      </c>
      <c r="K77" s="33" t="n">
        <v>13.53</v>
      </c>
      <c r="L77" s="62" t="n">
        <v>0.2706541308261653</v>
      </c>
      <c r="M77" s="63" t="n"/>
      <c r="N77" s="32" t="inlineStr">
        <is>
          <t>Inactive</t>
        </is>
      </c>
      <c r="O77" s="32" t="n"/>
      <c r="P77" s="64" t="n"/>
      <c r="Q77" s="63" t="n"/>
      <c r="R77" s="63" t="n"/>
      <c r="S77" s="63"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0" t="n">
        <v>49.99</v>
      </c>
      <c r="J78" s="61" t="inlineStr">
        <is>
          <t>2026-03-30</t>
        </is>
      </c>
      <c r="K78" s="33" t="n">
        <v>13.53</v>
      </c>
      <c r="L78" s="62" t="n">
        <v>0.2706541308261653</v>
      </c>
      <c r="M78" s="63" t="n"/>
      <c r="N78" s="32" t="inlineStr">
        <is>
          <t>Inactive</t>
        </is>
      </c>
      <c r="O78" s="32" t="n"/>
      <c r="P78" s="64" t="n"/>
      <c r="Q78" s="63" t="n"/>
      <c r="R78" s="63" t="n"/>
      <c r="S78" s="63" t="n"/>
      <c r="T78" s="32" t="n"/>
    </row>
    <row r="80" ht="20" customHeight="1">
      <c r="A80" s="53" t="inlineStr">
        <is>
          <t>3 · OUR BFCM 2025 RESULT &amp; EVENT VISIBILITY</t>
        </is>
      </c>
    </row>
    <row r="81">
      <c r="A81" s="66" t="inlineStr">
        <is>
          <t>Window</t>
        </is>
      </c>
      <c r="B81" s="67" t="n"/>
      <c r="C81" s="68" t="n"/>
      <c r="D81" s="66" t="inlineStr">
        <is>
          <t>Ad spend</t>
        </is>
      </c>
      <c r="E81" s="66" t="inlineStr">
        <is>
          <t>Ad sales</t>
        </is>
      </c>
      <c r="F81" s="66" t="inlineStr">
        <is>
          <t>ACoS</t>
        </is>
      </c>
      <c r="G81" s="66" t="inlineStr">
        <is>
          <t>TACoS</t>
        </is>
      </c>
      <c r="H81" s="66" t="inlineStr">
        <is>
          <t>Total sales (derived)</t>
        </is>
      </c>
      <c r="J81" s="66" t="inlineStr">
        <is>
          <t>Ad orders</t>
        </is>
      </c>
      <c r="K81" s="66" t="inlineStr">
        <is>
          <t>CVR</t>
        </is>
      </c>
    </row>
    <row r="82">
      <c r="A82" s="69" t="inlineStr">
        <is>
          <t>Pre-event Oct 21 - Nov 19, 2025 (30d)</t>
        </is>
      </c>
      <c r="B82" s="67" t="n"/>
      <c r="C82" s="68" t="n"/>
      <c r="D82" s="70" t="n">
        <v>2846.91</v>
      </c>
      <c r="E82" s="70" t="n">
        <v>6611.829999999999</v>
      </c>
      <c r="F82" s="71" t="n">
        <v>43.1</v>
      </c>
      <c r="G82" s="71" t="n">
        <v>4.392370333421844</v>
      </c>
      <c r="H82" s="70" t="n">
        <v>64814.89</v>
      </c>
      <c r="J82" s="72" t="n">
        <v>112</v>
      </c>
      <c r="K82" s="73" t="n">
        <v>15.47</v>
      </c>
    </row>
    <row r="83">
      <c r="A83" s="69" t="inlineStr">
        <is>
          <t>BFCM week Nov 20 - Dec 1, 2025 (12d)</t>
        </is>
      </c>
      <c r="B83" s="67" t="n"/>
      <c r="C83" s="68" t="n"/>
      <c r="D83" s="70" t="n">
        <v>476.5599999999999</v>
      </c>
      <c r="E83" s="70" t="n">
        <v>2310.61</v>
      </c>
      <c r="F83" s="71" t="n">
        <v>20.6</v>
      </c>
      <c r="G83" s="71" t="n">
        <v>1.606180979144857</v>
      </c>
      <c r="H83" s="70" t="n">
        <v>29670.38</v>
      </c>
      <c r="J83" s="72" t="n">
        <v>39</v>
      </c>
      <c r="K83" s="73" t="n">
        <v>20</v>
      </c>
    </row>
    <row r="84">
      <c r="A84" s="69" t="inlineStr">
        <is>
          <t>December 2 - 31, 2025 (30d)</t>
        </is>
      </c>
      <c r="B84" s="67" t="n"/>
      <c r="C84" s="68" t="n"/>
      <c r="D84" s="70" t="n">
        <v>1429.12</v>
      </c>
      <c r="E84" s="70" t="n">
        <v>5645.759999999999</v>
      </c>
      <c r="F84" s="71" t="n">
        <v>25.3</v>
      </c>
      <c r="G84" s="71" t="n">
        <v>2.896073727967422</v>
      </c>
      <c r="H84" s="70" t="n">
        <v>49346.81</v>
      </c>
      <c r="J84" s="72" t="n">
        <v>102</v>
      </c>
      <c r="K84" s="73" t="n">
        <v>14.27</v>
      </c>
    </row>
    <row r="86">
      <c r="A86" s="66" t="inlineStr">
        <is>
          <t>Actual sales (SellerBoard)</t>
        </is>
      </c>
      <c r="B86" s="67" t="n"/>
      <c r="C86" s="68" t="n"/>
      <c r="D86" s="66" t="inlineStr">
        <is>
          <t>Sales</t>
        </is>
      </c>
      <c r="E86" s="66" t="inlineStr">
        <is>
          <t>Units</t>
        </is>
      </c>
      <c r="F86" s="66" t="inlineStr">
        <is>
          <t>Organic units</t>
        </is>
      </c>
      <c r="G86" s="66" t="inlineStr">
        <is>
          <t>Ad units</t>
        </is>
      </c>
      <c r="H86" s="66" t="inlineStr">
        <is>
          <t>Ad cost</t>
        </is>
      </c>
      <c r="J86" s="66" t="inlineStr">
        <is>
          <t>TACoS (actual)</t>
        </is>
      </c>
      <c r="K86" s="66" t="inlineStr">
        <is>
          <t>Sessions</t>
        </is>
      </c>
      <c r="L86" s="66" t="inlineStr">
        <is>
          <t>Unit session %</t>
        </is>
      </c>
      <c r="M86" s="66" t="inlineStr">
        <is>
          <t>Avg price</t>
        </is>
      </c>
      <c r="N86" s="66" t="inlineStr">
        <is>
          <t>Refunds</t>
        </is>
      </c>
    </row>
    <row r="87">
      <c r="A87" s="69" t="inlineStr">
        <is>
          <t>Pre-event Oct 21 - Nov 19, 2025 (30d)</t>
        </is>
      </c>
      <c r="B87" s="67" t="n"/>
      <c r="C87" s="68" t="n"/>
      <c r="D87" s="70" t="n">
        <v>76193.21000000001</v>
      </c>
      <c r="E87" s="72" t="n">
        <v>1179</v>
      </c>
      <c r="F87" s="72" t="n">
        <v>1101</v>
      </c>
      <c r="G87" s="72" t="n">
        <v>78</v>
      </c>
      <c r="H87" s="70" t="n">
        <v>13837.96</v>
      </c>
      <c r="J87" s="74" t="n">
        <v>0.1816167083654829</v>
      </c>
      <c r="K87" s="72" t="n">
        <v>20660</v>
      </c>
      <c r="L87" s="74" t="n">
        <v>0.05706679574056147</v>
      </c>
      <c r="M87" s="75" t="n">
        <v>64.62528413910094</v>
      </c>
      <c r="N87" s="72" t="n">
        <v>63</v>
      </c>
    </row>
    <row r="88">
      <c r="A88" s="69" t="inlineStr">
        <is>
          <t>BFCM week Nov 20 - Dec 1, 2025 (12d)</t>
        </is>
      </c>
      <c r="B88" s="67" t="n"/>
      <c r="C88" s="68" t="n"/>
      <c r="D88" s="70" t="n">
        <v>35309.54</v>
      </c>
      <c r="E88" s="72" t="n">
        <v>547</v>
      </c>
      <c r="F88" s="72" t="n">
        <v>529</v>
      </c>
      <c r="G88" s="72" t="n">
        <v>18</v>
      </c>
      <c r="H88" s="70" t="n">
        <v>2503.28</v>
      </c>
      <c r="J88" s="74" t="n">
        <v>0.07089528778907911</v>
      </c>
      <c r="K88" s="72" t="n">
        <v>7571</v>
      </c>
      <c r="L88" s="74" t="n">
        <v>0.07224937260599656</v>
      </c>
      <c r="M88" s="75" t="n">
        <v>64.55126142595978</v>
      </c>
      <c r="N88" s="72" t="n">
        <v>21</v>
      </c>
    </row>
    <row r="89">
      <c r="A89" s="69" t="inlineStr">
        <is>
          <t>December 2 - 31, 2025 (30d)</t>
        </is>
      </c>
      <c r="B89" s="67" t="n"/>
      <c r="C89" s="68" t="n"/>
      <c r="D89" s="70" t="n">
        <v>57985.49999999999</v>
      </c>
      <c r="E89" s="72" t="n">
        <v>912</v>
      </c>
      <c r="F89" s="72" t="n">
        <v>847</v>
      </c>
      <c r="G89" s="72" t="n">
        <v>65</v>
      </c>
      <c r="H89" s="70" t="n">
        <v>6154.26</v>
      </c>
      <c r="J89" s="74" t="n">
        <v>0.1061344646506454</v>
      </c>
      <c r="K89" s="72" t="n">
        <v>14467</v>
      </c>
      <c r="L89" s="74" t="n">
        <v>0.06304002211930601</v>
      </c>
      <c r="M89" s="75" t="n">
        <v>63.58059210526315</v>
      </c>
      <c r="N89" s="72" t="n">
        <v>47</v>
      </c>
    </row>
    <row r="90">
      <c r="A90" s="58" t="inlineStr">
        <is>
          <t>SellerBoard, Ecotero account, Amazon parent B0H8PNVWP1 plus any of this product's child ASINs SellerBoard lists on their own, UTC days. Lift above uses these actual sales (1.16x; the ad-spend estimate was 1.14x).</t>
        </is>
      </c>
    </row>
    <row r="91" ht="18" customHeight="1">
      <c r="A91" s="76" t="inlineStr">
        <is>
          <t>Deals Nov 1 - Dec 5, 2025: no record returned by the DataHub promotions feed. Unknown, not proof that no deal ran.</t>
        </is>
      </c>
    </row>
    <row r="92" ht="18" customHeight="1">
      <c r="A92" s="77" t="inlineStr">
        <is>
          <t>BFCM 2026 plan (BM, Oct 15, 2026): Best Deal 11/19-11/30. Deal price and depth not yet given; not yet visible in Amazon's deal feed.</t>
        </is>
      </c>
    </row>
    <row r="93" ht="18" customHeight="1">
      <c r="A93" s="79" t="inlineStr">
        <is>
          <t>ASSUMED 2026 deal prices, until BM's final: B0F7LZQNHM today $84.99; $72.24 at 15% off (Nov 19-26) and $67.99 at 20% off (Nov 27-30 (Black Friday to Cyber Monday)). Rule: Umair Tahir via Shayan Rana, Oct 15, 2026. Evidence: our BFCM 2025 deal on B0F7LZQNHM (US, Keepa): $69.99 before, $69.99 during, 0% off; US competitors' median price cut in BFCM 2025: 21% (7 rivals). Amazon may use a lower reference price than today's (it sets it the day before the deal), which would lower the deal price.</t>
        </is>
      </c>
    </row>
    <row r="94" ht="30" customHeight="1">
      <c r="A94" s="76"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6"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8" t="inlineStr">
        <is>
          <t>No Command Center visibility history for our best child ASIN.</t>
        </is>
      </c>
    </row>
    <row r="98" ht="20" customHeight="1">
      <c r="A98" s="53" t="inlineStr">
        <is>
          <t>4 · COMPETITOR LANDSCAPE (36 mapped)</t>
        </is>
      </c>
    </row>
    <row r="99">
      <c r="A99" s="58"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6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6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Helium 10 Xray, 2026-10-13; 6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Helium 10 Xray, 2026-10-13; 6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Helium 10 Xray, 2026-10-13; 6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Helium 10 Xray, 2026-10-13; 6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7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7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10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Helium 10 Xray, 2026-10-13; 6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Helium 10 Xray, 2026-10-13; 6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COMING SOON</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3"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Cooling Sheets 6 Piece  ·  Amazon.com (US)  ·  Cooling  ·  BFCM role: Off-season (aged variations only)  ·  Scope: Not launched</t>
        </is>
      </c>
    </row>
    <row r="2">
      <c r="A2" s="52" t="inlineStr">
        <is>
          <t>← Dashboard</t>
        </is>
      </c>
      <c r="C2" s="109" t="inlineStr">
        <is>
          <t>NOT LAUNCHED YET (confirmed Oct 14, 2026): no live price, rating or sales expected; excluded from the gap counts on Data Check.</t>
        </is>
      </c>
    </row>
    <row r="3" ht="20" customHeight="1">
      <c r="A3" s="53"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4" t="inlineStr">
        <is>
          <t>California King, Full, King, Queen, Twin</t>
        </is>
      </c>
      <c r="S4" s="11" t="inlineStr">
        <is>
          <t>Break-even ACoS</t>
        </is>
      </c>
      <c r="T4" s="54" t="inlineStr">
        <is>
          <t>n/a</t>
        </is>
      </c>
    </row>
    <row r="5" ht="22" customHeight="1">
      <c r="C5" s="11" t="inlineStr">
        <is>
          <t>Brand</t>
        </is>
      </c>
      <c r="D5" s="54" t="inlineStr">
        <is>
          <t>Sleephoria</t>
        </is>
      </c>
      <c r="K5" s="11" t="inlineStr">
        <is>
          <t>Colours</t>
        </is>
      </c>
      <c r="L5" s="54" t="inlineStr">
        <is>
          <t>Beige, Cool Grey, Cream, Graphite, Light Blue, Light Grey, Light Pink, Midnight Black, Navy Blue, Regal Purple, Sage Green, White</t>
        </is>
      </c>
      <c r="S5" s="11" t="inlineStr">
        <is>
          <t>Units last 28 days</t>
        </is>
      </c>
      <c r="T5" s="54" t="inlineStr">
        <is>
          <t>0</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B0H7JVGTZW (one of our child ASINs, not the Amazon parent)</t>
        </is>
      </c>
    </row>
    <row r="7" ht="22" customHeight="1">
      <c r="C7" s="11" t="inlineStr">
        <is>
          <t>Parent ASIN (Amazon)</t>
        </is>
      </c>
      <c r="D7" s="54" t="inlineStr">
        <is>
          <t>B0H7JVGTZW</t>
        </is>
      </c>
      <c r="K7" s="11" t="inlineStr">
        <is>
          <t>Rating / reviews now</t>
        </is>
      </c>
      <c r="L7" s="54" t="inlineStr">
        <is>
          <t>Not checked yet</t>
        </is>
      </c>
    </row>
    <row r="8" ht="22" customHeight="1">
      <c r="C8" s="11" t="inlineStr">
        <is>
          <t>Best-selling child ASIN</t>
        </is>
      </c>
      <c r="D8" s="54" t="n"/>
      <c r="K8" s="11" t="inlineStr">
        <is>
          <t>Live prices held</t>
        </is>
      </c>
      <c r="L8" s="54" t="inlineStr">
        <is>
          <t>0 of 60 variations</t>
        </is>
      </c>
    </row>
    <row r="9" ht="22" customHeight="1">
      <c r="C9" s="11" t="inlineStr">
        <is>
          <t>Stage</t>
        </is>
      </c>
      <c r="D9" s="54" t="inlineStr">
        <is>
          <t>Production</t>
        </is>
      </c>
      <c r="K9" s="11" t="inlineStr">
        <is>
          <t>Blended price (Command Center)</t>
        </is>
      </c>
      <c r="L9" s="54" t="n"/>
    </row>
    <row r="10">
      <c r="C10" s="11" t="inlineStr">
        <is>
          <t>Total variations (SKUs)</t>
        </is>
      </c>
      <c r="D10" s="54" t="n">
        <v>60</v>
      </c>
      <c r="K10" s="11" t="inlineStr">
        <is>
          <t>Contribution / unit</t>
        </is>
      </c>
      <c r="L10" s="54" t="inlineStr">
        <is>
          <t>n/a</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7</t>
        </is>
      </c>
      <c r="Q12" s="56" t="inlineStr">
        <is>
          <t>0</t>
        </is>
      </c>
      <c r="U12" s="56" t="inlineStr">
        <is>
          <t>1</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(60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2" t="n"/>
      <c r="M18" s="63" t="n"/>
      <c r="N18" s="32" t="inlineStr">
        <is>
          <t>Inactive</t>
        </is>
      </c>
      <c r="O18" s="32" t="n"/>
      <c r="P18" s="64" t="n"/>
      <c r="Q18" s="63" t="n"/>
      <c r="R18" s="63" t="n"/>
      <c r="S18" s="63"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2" t="n"/>
      <c r="M19" s="63" t="n"/>
      <c r="N19" s="32" t="inlineStr">
        <is>
          <t>Inactive</t>
        </is>
      </c>
      <c r="O19" s="32" t="n"/>
      <c r="P19" s="64" t="n"/>
      <c r="Q19" s="63" t="n"/>
      <c r="R19" s="63" t="n"/>
      <c r="S19" s="63"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2" t="n"/>
      <c r="M20" s="63" t="n"/>
      <c r="N20" s="32" t="inlineStr">
        <is>
          <t>Inactive</t>
        </is>
      </c>
      <c r="O20" s="32" t="n"/>
      <c r="P20" s="64" t="n"/>
      <c r="Q20" s="63" t="n"/>
      <c r="R20" s="63" t="n"/>
      <c r="S20" s="63"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2" t="n"/>
      <c r="M21" s="63" t="n"/>
      <c r="N21" s="32" t="inlineStr">
        <is>
          <t>Inactive</t>
        </is>
      </c>
      <c r="O21" s="32" t="n"/>
      <c r="P21" s="64" t="n"/>
      <c r="Q21" s="63" t="n"/>
      <c r="R21" s="63" t="n"/>
      <c r="S21" s="63"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2" t="n"/>
      <c r="M22" s="63" t="n"/>
      <c r="N22" s="32" t="inlineStr">
        <is>
          <t>Inactive</t>
        </is>
      </c>
      <c r="O22" s="32" t="n"/>
      <c r="P22" s="64" t="n"/>
      <c r="Q22" s="63" t="n"/>
      <c r="R22" s="63" t="n"/>
      <c r="S22" s="63"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2" t="n"/>
      <c r="M23" s="63" t="n"/>
      <c r="N23" s="32" t="inlineStr">
        <is>
          <t>Inactive</t>
        </is>
      </c>
      <c r="O23" s="32" t="n"/>
      <c r="P23" s="64" t="n"/>
      <c r="Q23" s="63" t="n"/>
      <c r="R23" s="63" t="n"/>
      <c r="S23" s="63"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2" t="n"/>
      <c r="M24" s="63" t="n"/>
      <c r="N24" s="32" t="inlineStr">
        <is>
          <t>Inactive</t>
        </is>
      </c>
      <c r="O24" s="32" t="n"/>
      <c r="P24" s="64" t="n"/>
      <c r="Q24" s="63" t="n"/>
      <c r="R24" s="63" t="n"/>
      <c r="S24" s="63"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2" t="n"/>
      <c r="M25" s="63" t="n"/>
      <c r="N25" s="32" t="inlineStr">
        <is>
          <t>Inactive</t>
        </is>
      </c>
      <c r="O25" s="32" t="n"/>
      <c r="P25" s="64" t="n"/>
      <c r="Q25" s="63" t="n"/>
      <c r="R25" s="63" t="n"/>
      <c r="S25" s="63"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2" t="n"/>
      <c r="M26" s="63" t="n"/>
      <c r="N26" s="32" t="inlineStr">
        <is>
          <t>Inactive</t>
        </is>
      </c>
      <c r="O26" s="32" t="n"/>
      <c r="P26" s="64" t="n"/>
      <c r="Q26" s="63" t="n"/>
      <c r="R26" s="63" t="n"/>
      <c r="S26" s="63"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2" t="n"/>
      <c r="M27" s="63" t="n"/>
      <c r="N27" s="32" t="inlineStr">
        <is>
          <t>Inactive</t>
        </is>
      </c>
      <c r="O27" s="32" t="n"/>
      <c r="P27" s="64" t="n"/>
      <c r="Q27" s="63" t="n"/>
      <c r="R27" s="63" t="n"/>
      <c r="S27" s="63"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2" t="n"/>
      <c r="M28" s="63" t="n"/>
      <c r="N28" s="32" t="inlineStr">
        <is>
          <t>Inactive</t>
        </is>
      </c>
      <c r="O28" s="32" t="n"/>
      <c r="P28" s="64" t="n"/>
      <c r="Q28" s="63" t="n"/>
      <c r="R28" s="63" t="n"/>
      <c r="S28" s="63"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2" t="n"/>
      <c r="M29" s="63" t="n"/>
      <c r="N29" s="32" t="inlineStr">
        <is>
          <t>Inactive</t>
        </is>
      </c>
      <c r="O29" s="32" t="n"/>
      <c r="P29" s="64" t="n"/>
      <c r="Q29" s="63" t="n"/>
      <c r="R29" s="63" t="n"/>
      <c r="S29" s="63"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2" t="n"/>
      <c r="M30" s="63" t="n"/>
      <c r="N30" s="32" t="inlineStr">
        <is>
          <t>Inactive</t>
        </is>
      </c>
      <c r="O30" s="32" t="n"/>
      <c r="P30" s="64" t="n"/>
      <c r="Q30" s="63" t="n"/>
      <c r="R30" s="63" t="n"/>
      <c r="S30" s="63"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2" t="n"/>
      <c r="M31" s="63" t="n"/>
      <c r="N31" s="32" t="inlineStr">
        <is>
          <t>Inactive</t>
        </is>
      </c>
      <c r="O31" s="32" t="n"/>
      <c r="P31" s="64" t="n"/>
      <c r="Q31" s="63" t="n"/>
      <c r="R31" s="63" t="n"/>
      <c r="S31" s="63"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2" t="n"/>
      <c r="M32" s="63" t="n"/>
      <c r="N32" s="32" t="inlineStr">
        <is>
          <t>Inactive</t>
        </is>
      </c>
      <c r="O32" s="32" t="n"/>
      <c r="P32" s="64" t="n"/>
      <c r="Q32" s="63" t="n"/>
      <c r="R32" s="63" t="n"/>
      <c r="S32" s="63"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2" t="n"/>
      <c r="M33" s="63" t="n"/>
      <c r="N33" s="32" t="inlineStr">
        <is>
          <t>Inactive</t>
        </is>
      </c>
      <c r="O33" s="32" t="n"/>
      <c r="P33" s="64" t="n"/>
      <c r="Q33" s="63" t="n"/>
      <c r="R33" s="63" t="n"/>
      <c r="S33" s="63"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2" t="n"/>
      <c r="M34" s="63" t="n"/>
      <c r="N34" s="32" t="inlineStr">
        <is>
          <t>Inactive</t>
        </is>
      </c>
      <c r="O34" s="32" t="n"/>
      <c r="P34" s="64" t="n"/>
      <c r="Q34" s="63" t="n"/>
      <c r="R34" s="63" t="n"/>
      <c r="S34" s="63"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2" t="n"/>
      <c r="M35" s="63" t="n"/>
      <c r="N35" s="32" t="inlineStr">
        <is>
          <t>Inactive</t>
        </is>
      </c>
      <c r="O35" s="32" t="n"/>
      <c r="P35" s="64" t="n"/>
      <c r="Q35" s="63" t="n"/>
      <c r="R35" s="63" t="n"/>
      <c r="S35" s="63"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2" t="n"/>
      <c r="M36" s="63" t="n"/>
      <c r="N36" s="32" t="inlineStr">
        <is>
          <t>Inactive</t>
        </is>
      </c>
      <c r="O36" s="32" t="n"/>
      <c r="P36" s="64" t="n"/>
      <c r="Q36" s="63" t="n"/>
      <c r="R36" s="63" t="n"/>
      <c r="S36" s="63"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2" t="n"/>
      <c r="M37" s="63" t="n"/>
      <c r="N37" s="32" t="inlineStr">
        <is>
          <t>Inactive</t>
        </is>
      </c>
      <c r="O37" s="32" t="n"/>
      <c r="P37" s="64" t="n"/>
      <c r="Q37" s="63" t="n"/>
      <c r="R37" s="63" t="n"/>
      <c r="S37" s="63"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2" t="n"/>
      <c r="M38" s="63" t="n"/>
      <c r="N38" s="32" t="inlineStr">
        <is>
          <t>Inactive</t>
        </is>
      </c>
      <c r="O38" s="32" t="n"/>
      <c r="P38" s="64" t="n"/>
      <c r="Q38" s="63" t="n"/>
      <c r="R38" s="63" t="n"/>
      <c r="S38" s="63"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2" t="n"/>
      <c r="M39" s="63" t="n"/>
      <c r="N39" s="32" t="inlineStr">
        <is>
          <t>Inactive</t>
        </is>
      </c>
      <c r="O39" s="32" t="n"/>
      <c r="P39" s="64" t="n"/>
      <c r="Q39" s="63" t="n"/>
      <c r="R39" s="63" t="n"/>
      <c r="S39" s="63"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2" t="n"/>
      <c r="M40" s="63" t="n"/>
      <c r="N40" s="32" t="inlineStr">
        <is>
          <t>Inactive</t>
        </is>
      </c>
      <c r="O40" s="32" t="n"/>
      <c r="P40" s="64" t="n"/>
      <c r="Q40" s="63" t="n"/>
      <c r="R40" s="63" t="n"/>
      <c r="S40" s="63"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2" t="n"/>
      <c r="M41" s="63" t="n"/>
      <c r="N41" s="32" t="inlineStr">
        <is>
          <t>Inactive</t>
        </is>
      </c>
      <c r="O41" s="32" t="n"/>
      <c r="P41" s="64" t="n"/>
      <c r="Q41" s="63" t="n"/>
      <c r="R41" s="63" t="n"/>
      <c r="S41" s="63"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2" t="n"/>
      <c r="M42" s="63" t="n"/>
      <c r="N42" s="32" t="inlineStr">
        <is>
          <t>Inactive</t>
        </is>
      </c>
      <c r="O42" s="32" t="n"/>
      <c r="P42" s="64" t="n"/>
      <c r="Q42" s="63" t="n"/>
      <c r="R42" s="63" t="n"/>
      <c r="S42" s="63"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2" t="n"/>
      <c r="M43" s="63" t="n"/>
      <c r="N43" s="32" t="inlineStr">
        <is>
          <t>Inactive</t>
        </is>
      </c>
      <c r="O43" s="32" t="n"/>
      <c r="P43" s="64" t="n"/>
      <c r="Q43" s="63" t="n"/>
      <c r="R43" s="63" t="n"/>
      <c r="S43" s="63"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2" t="n"/>
      <c r="M44" s="63" t="n"/>
      <c r="N44" s="32" t="inlineStr">
        <is>
          <t>Inactive</t>
        </is>
      </c>
      <c r="O44" s="32" t="n"/>
      <c r="P44" s="64" t="n"/>
      <c r="Q44" s="63" t="n"/>
      <c r="R44" s="63" t="n"/>
      <c r="S44" s="63"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2" t="n"/>
      <c r="M45" s="63" t="n"/>
      <c r="N45" s="32" t="inlineStr">
        <is>
          <t>Inactive</t>
        </is>
      </c>
      <c r="O45" s="32" t="n"/>
      <c r="P45" s="64" t="n"/>
      <c r="Q45" s="63" t="n"/>
      <c r="R45" s="63" t="n"/>
      <c r="S45" s="63"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2" t="n"/>
      <c r="M46" s="63" t="n"/>
      <c r="N46" s="32" t="inlineStr">
        <is>
          <t>Inactive</t>
        </is>
      </c>
      <c r="O46" s="32" t="n"/>
      <c r="P46" s="64" t="n"/>
      <c r="Q46" s="63" t="n"/>
      <c r="R46" s="63" t="n"/>
      <c r="S46" s="63"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2" t="n"/>
      <c r="M47" s="63" t="n"/>
      <c r="N47" s="32" t="inlineStr">
        <is>
          <t>Inactive</t>
        </is>
      </c>
      <c r="O47" s="32" t="n"/>
      <c r="P47" s="64" t="n"/>
      <c r="Q47" s="63" t="n"/>
      <c r="R47" s="63" t="n"/>
      <c r="S47" s="63"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2" t="n"/>
      <c r="M48" s="63" t="n"/>
      <c r="N48" s="32" t="inlineStr">
        <is>
          <t>Inactive</t>
        </is>
      </c>
      <c r="O48" s="32" t="n"/>
      <c r="P48" s="64" t="n"/>
      <c r="Q48" s="63" t="n"/>
      <c r="R48" s="63" t="n"/>
      <c r="S48" s="63"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2" t="n"/>
      <c r="M49" s="63" t="n"/>
      <c r="N49" s="32" t="inlineStr">
        <is>
          <t>Inactive</t>
        </is>
      </c>
      <c r="O49" s="32" t="n"/>
      <c r="P49" s="64" t="n"/>
      <c r="Q49" s="63" t="n"/>
      <c r="R49" s="63" t="n"/>
      <c r="S49" s="63"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2" t="n"/>
      <c r="M50" s="63" t="n"/>
      <c r="N50" s="32" t="inlineStr">
        <is>
          <t>Inactive</t>
        </is>
      </c>
      <c r="O50" s="32" t="n"/>
      <c r="P50" s="64" t="n"/>
      <c r="Q50" s="63" t="n"/>
      <c r="R50" s="63" t="n"/>
      <c r="S50" s="63"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2" t="n"/>
      <c r="M51" s="63" t="n"/>
      <c r="N51" s="32" t="inlineStr">
        <is>
          <t>Inactive</t>
        </is>
      </c>
      <c r="O51" s="32" t="n"/>
      <c r="P51" s="64" t="n"/>
      <c r="Q51" s="63" t="n"/>
      <c r="R51" s="63" t="n"/>
      <c r="S51" s="63"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2" t="n"/>
      <c r="M52" s="63" t="n"/>
      <c r="N52" s="32" t="inlineStr">
        <is>
          <t>Inactive</t>
        </is>
      </c>
      <c r="O52" s="32" t="n"/>
      <c r="P52" s="64" t="n"/>
      <c r="Q52" s="63" t="n"/>
      <c r="R52" s="63" t="n"/>
      <c r="S52" s="63"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2" t="n"/>
      <c r="M53" s="63" t="n"/>
      <c r="N53" s="32" t="inlineStr">
        <is>
          <t>Inactive</t>
        </is>
      </c>
      <c r="O53" s="32" t="n"/>
      <c r="P53" s="64" t="n"/>
      <c r="Q53" s="63" t="n"/>
      <c r="R53" s="63" t="n"/>
      <c r="S53" s="63"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2" t="n"/>
      <c r="M54" s="63" t="n"/>
      <c r="N54" s="32" t="inlineStr">
        <is>
          <t>Inactive</t>
        </is>
      </c>
      <c r="O54" s="32" t="n"/>
      <c r="P54" s="64" t="n"/>
      <c r="Q54" s="63" t="n"/>
      <c r="R54" s="63" t="n"/>
      <c r="S54" s="63"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2" t="n"/>
      <c r="M55" s="63" t="n"/>
      <c r="N55" s="32" t="inlineStr">
        <is>
          <t>Inactive</t>
        </is>
      </c>
      <c r="O55" s="32" t="n"/>
      <c r="P55" s="64" t="n"/>
      <c r="Q55" s="63" t="n"/>
      <c r="R55" s="63" t="n"/>
      <c r="S55" s="63"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2" t="n"/>
      <c r="M56" s="63" t="n"/>
      <c r="N56" s="32" t="inlineStr">
        <is>
          <t>Inactive</t>
        </is>
      </c>
      <c r="O56" s="32" t="n"/>
      <c r="P56" s="64" t="n"/>
      <c r="Q56" s="63" t="n"/>
      <c r="R56" s="63" t="n"/>
      <c r="S56" s="63"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2" t="n"/>
      <c r="M57" s="63" t="n"/>
      <c r="N57" s="32" t="inlineStr">
        <is>
          <t>Inactive</t>
        </is>
      </c>
      <c r="O57" s="32" t="n"/>
      <c r="P57" s="64" t="n"/>
      <c r="Q57" s="63" t="n"/>
      <c r="R57" s="63" t="n"/>
      <c r="S57" s="63"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2" t="n"/>
      <c r="M58" s="63" t="n"/>
      <c r="N58" s="32" t="inlineStr">
        <is>
          <t>Inactive</t>
        </is>
      </c>
      <c r="O58" s="32" t="n"/>
      <c r="P58" s="64" t="n"/>
      <c r="Q58" s="63" t="n"/>
      <c r="R58" s="63" t="n"/>
      <c r="S58" s="63"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2" t="n"/>
      <c r="M59" s="63" t="n"/>
      <c r="N59" s="32" t="inlineStr">
        <is>
          <t>Inactive</t>
        </is>
      </c>
      <c r="O59" s="32" t="n"/>
      <c r="P59" s="64" t="n"/>
      <c r="Q59" s="63" t="n"/>
      <c r="R59" s="63" t="n"/>
      <c r="S59" s="63"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2" t="n"/>
      <c r="M60" s="63" t="n"/>
      <c r="N60" s="32" t="inlineStr">
        <is>
          <t>Inactive</t>
        </is>
      </c>
      <c r="O60" s="32" t="n"/>
      <c r="P60" s="64" t="n"/>
      <c r="Q60" s="63" t="n"/>
      <c r="R60" s="63" t="n"/>
      <c r="S60" s="63"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2" t="n"/>
      <c r="M61" s="63" t="n"/>
      <c r="N61" s="32" t="inlineStr">
        <is>
          <t>Inactive</t>
        </is>
      </c>
      <c r="O61" s="32" t="n"/>
      <c r="P61" s="64" t="n"/>
      <c r="Q61" s="63" t="n"/>
      <c r="R61" s="63" t="n"/>
      <c r="S61" s="63"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2" t="n"/>
      <c r="M62" s="63" t="n"/>
      <c r="N62" s="32" t="inlineStr">
        <is>
          <t>Inactive</t>
        </is>
      </c>
      <c r="O62" s="32" t="n"/>
      <c r="P62" s="64" t="n"/>
      <c r="Q62" s="63" t="n"/>
      <c r="R62" s="63" t="n"/>
      <c r="S62" s="63"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2" t="n"/>
      <c r="M63" s="63" t="n"/>
      <c r="N63" s="32" t="inlineStr">
        <is>
          <t>Inactive</t>
        </is>
      </c>
      <c r="O63" s="32" t="n"/>
      <c r="P63" s="64" t="n"/>
      <c r="Q63" s="63" t="n"/>
      <c r="R63" s="63" t="n"/>
      <c r="S63" s="63"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2" t="n"/>
      <c r="M64" s="63" t="n"/>
      <c r="N64" s="32" t="inlineStr">
        <is>
          <t>Inactive</t>
        </is>
      </c>
      <c r="O64" s="32" t="n"/>
      <c r="P64" s="64" t="n"/>
      <c r="Q64" s="63" t="n"/>
      <c r="R64" s="63" t="n"/>
      <c r="S64" s="63"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2" t="n"/>
      <c r="M65" s="63" t="n"/>
      <c r="N65" s="32" t="inlineStr">
        <is>
          <t>Inactive</t>
        </is>
      </c>
      <c r="O65" s="32" t="n"/>
      <c r="P65" s="64" t="n"/>
      <c r="Q65" s="63" t="n"/>
      <c r="R65" s="63" t="n"/>
      <c r="S65" s="63"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2" t="n"/>
      <c r="M66" s="63" t="n"/>
      <c r="N66" s="32" t="inlineStr">
        <is>
          <t>Inactive</t>
        </is>
      </c>
      <c r="O66" s="32" t="n"/>
      <c r="P66" s="64" t="n"/>
      <c r="Q66" s="63" t="n"/>
      <c r="R66" s="63" t="n"/>
      <c r="S66" s="63"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2" t="n"/>
      <c r="M67" s="63" t="n"/>
      <c r="N67" s="32" t="inlineStr">
        <is>
          <t>Inactive</t>
        </is>
      </c>
      <c r="O67" s="32" t="n"/>
      <c r="P67" s="64" t="n"/>
      <c r="Q67" s="63" t="n"/>
      <c r="R67" s="63" t="n"/>
      <c r="S67" s="63"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2" t="n"/>
      <c r="M68" s="63" t="n"/>
      <c r="N68" s="32" t="inlineStr">
        <is>
          <t>Inactive</t>
        </is>
      </c>
      <c r="O68" s="32" t="n"/>
      <c r="P68" s="64" t="n"/>
      <c r="Q68" s="63" t="n"/>
      <c r="R68" s="63" t="n"/>
      <c r="S68" s="63"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2" t="n"/>
      <c r="M69" s="63" t="n"/>
      <c r="N69" s="32" t="inlineStr">
        <is>
          <t>Inactive</t>
        </is>
      </c>
      <c r="O69" s="32" t="n"/>
      <c r="P69" s="64" t="n"/>
      <c r="Q69" s="63" t="n"/>
      <c r="R69" s="63" t="n"/>
      <c r="S69" s="63"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2" t="n"/>
      <c r="M70" s="63" t="n"/>
      <c r="N70" s="32" t="inlineStr">
        <is>
          <t>Inactive</t>
        </is>
      </c>
      <c r="O70" s="32" t="n"/>
      <c r="P70" s="64" t="n"/>
      <c r="Q70" s="63" t="n"/>
      <c r="R70" s="63" t="n"/>
      <c r="S70" s="63"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2" t="n"/>
      <c r="M71" s="63" t="n"/>
      <c r="N71" s="32" t="inlineStr">
        <is>
          <t>Inactive</t>
        </is>
      </c>
      <c r="O71" s="32" t="n"/>
      <c r="P71" s="64" t="n"/>
      <c r="Q71" s="63" t="n"/>
      <c r="R71" s="63" t="n"/>
      <c r="S71" s="63"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2" t="n"/>
      <c r="M72" s="63" t="n"/>
      <c r="N72" s="32" t="inlineStr">
        <is>
          <t>Inactive</t>
        </is>
      </c>
      <c r="O72" s="32" t="n"/>
      <c r="P72" s="64" t="n"/>
      <c r="Q72" s="63" t="n"/>
      <c r="R72" s="63" t="n"/>
      <c r="S72" s="63"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2" t="n"/>
      <c r="M73" s="63" t="n"/>
      <c r="N73" s="32" t="inlineStr">
        <is>
          <t>Inactive</t>
        </is>
      </c>
      <c r="O73" s="32" t="n"/>
      <c r="P73" s="64" t="n"/>
      <c r="Q73" s="63" t="n"/>
      <c r="R73" s="63" t="n"/>
      <c r="S73" s="63"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2" t="n"/>
      <c r="M74" s="63" t="n"/>
      <c r="N74" s="32" t="inlineStr">
        <is>
          <t>Inactive</t>
        </is>
      </c>
      <c r="O74" s="32" t="n"/>
      <c r="P74" s="64" t="n"/>
      <c r="Q74" s="63" t="n"/>
      <c r="R74" s="63" t="n"/>
      <c r="S74" s="63"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2" t="n"/>
      <c r="M75" s="63" t="n"/>
      <c r="N75" s="32" t="inlineStr">
        <is>
          <t>Inactive</t>
        </is>
      </c>
      <c r="O75" s="32" t="n"/>
      <c r="P75" s="64" t="n"/>
      <c r="Q75" s="63" t="n"/>
      <c r="R75" s="63" t="n"/>
      <c r="S75" s="63"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2" t="n"/>
      <c r="M76" s="63" t="n"/>
      <c r="N76" s="32" t="inlineStr">
        <is>
          <t>Inactive</t>
        </is>
      </c>
      <c r="O76" s="32" t="n"/>
      <c r="P76" s="64" t="n"/>
      <c r="Q76" s="63" t="n"/>
      <c r="R76" s="63" t="n"/>
      <c r="S76" s="63"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2" t="n"/>
      <c r="M77" s="63" t="n"/>
      <c r="N77" s="32" t="inlineStr">
        <is>
          <t>Inactive</t>
        </is>
      </c>
      <c r="O77" s="32" t="n"/>
      <c r="P77" s="64" t="n"/>
      <c r="Q77" s="63" t="n"/>
      <c r="R77" s="63" t="n"/>
      <c r="S77" s="63" t="n"/>
      <c r="T77" s="32" t="n"/>
    </row>
    <row r="79" ht="20" customHeight="1">
      <c r="A79" s="53" t="inlineStr">
        <is>
          <t>3 · OUR BFCM 2025 RESULT &amp; EVENT VISIBILITY</t>
        </is>
      </c>
    </row>
    <row r="80">
      <c r="A80" s="66" t="inlineStr">
        <is>
          <t>Window</t>
        </is>
      </c>
      <c r="B80" s="67" t="n"/>
      <c r="C80" s="68" t="n"/>
      <c r="D80" s="66" t="inlineStr">
        <is>
          <t>Ad spend</t>
        </is>
      </c>
      <c r="E80" s="66" t="inlineStr">
        <is>
          <t>Ad sales</t>
        </is>
      </c>
      <c r="F80" s="66" t="inlineStr">
        <is>
          <t>ACoS</t>
        </is>
      </c>
      <c r="G80" s="66" t="inlineStr">
        <is>
          <t>TACoS</t>
        </is>
      </c>
      <c r="H80" s="66" t="inlineStr">
        <is>
          <t>Total sales (derived)</t>
        </is>
      </c>
      <c r="J80" s="66" t="inlineStr">
        <is>
          <t>Ad orders</t>
        </is>
      </c>
      <c r="K80" s="66" t="inlineStr">
        <is>
          <t>CVR</t>
        </is>
      </c>
    </row>
    <row r="81">
      <c r="A81" s="69" t="inlineStr">
        <is>
          <t>Pre-event Oct 21 - Nov 19, 2025 (30d)</t>
        </is>
      </c>
      <c r="B81" s="67" t="n"/>
      <c r="C81" s="68" t="n"/>
      <c r="D81" s="70" t="n"/>
      <c r="E81" s="70" t="n"/>
      <c r="F81" s="71" t="n"/>
      <c r="G81" s="71" t="n"/>
      <c r="H81" s="70" t="n"/>
      <c r="J81" s="72" t="n"/>
      <c r="K81" s="73" t="n"/>
    </row>
    <row r="82">
      <c r="A82" s="69" t="inlineStr">
        <is>
          <t>BFCM week Nov 20 - Dec 1, 2025 (12d)</t>
        </is>
      </c>
      <c r="B82" s="67" t="n"/>
      <c r="C82" s="68" t="n"/>
      <c r="D82" s="70" t="n"/>
      <c r="E82" s="70" t="n"/>
      <c r="F82" s="71" t="n"/>
      <c r="G82" s="71" t="n"/>
      <c r="H82" s="70" t="n"/>
      <c r="J82" s="72" t="n"/>
      <c r="K82" s="73" t="n"/>
    </row>
    <row r="83">
      <c r="A83" s="69" t="inlineStr">
        <is>
          <t>December 2 - 31, 2025 (30d)</t>
        </is>
      </c>
      <c r="B83" s="67" t="n"/>
      <c r="C83" s="68" t="n"/>
      <c r="D83" s="70" t="n"/>
      <c r="E83" s="70" t="n"/>
      <c r="F83" s="71" t="n"/>
      <c r="G83" s="71" t="n"/>
      <c r="H83" s="70" t="n"/>
      <c r="J83" s="72" t="n"/>
      <c r="K83" s="73" t="n"/>
    </row>
    <row r="84" ht="18" customHeight="1">
      <c r="A84" s="110" t="inlineStr">
        <is>
          <t>BFCM 2026 plan (BM, Oct 15, 2026): NOT IN A DEAL. BM confirmed that products without a planned deal are not in any BFCM 2026 deal; they sell at their regular price.</t>
        </is>
      </c>
    </row>
    <row r="85">
      <c r="A85" s="58" t="inlineStr">
        <is>
          <t>No Command Center visibility history for our best child ASIN.</t>
        </is>
      </c>
    </row>
    <row r="86">
      <c r="A86" s="111" t="inlineStr">
        <is>
          <t>No BFCM 2025 PPC data for this product (not advertised or launched after BFCM 2025).</t>
        </is>
      </c>
    </row>
    <row r="88" ht="20" customHeight="1">
      <c r="A88" s="53" t="inlineStr">
        <is>
          <t>4 · COMPETITOR LANDSCAPE (7 mapped)</t>
        </is>
      </c>
    </row>
    <row r="89">
      <c r="A89" s="58"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COMING SOON</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3"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CooLinens Cooling Sheets 4 Piece  ·  Amazon.com (US)  ·  Cooling  ·  BFCM role: Launch  ·  Scope: Launching (partly live)</t>
        </is>
      </c>
    </row>
    <row r="2">
      <c r="A2" s="52" t="inlineStr">
        <is>
          <t>← Dashboard</t>
        </is>
      </c>
      <c r="C2" s="109" t="inlineStr">
        <is>
          <t>LAUNCHING: only part of this family is live (confirmed Oct 14, 2026). Variations without a live price are not launched yet, not missing data.</t>
        </is>
      </c>
    </row>
    <row r="3" ht="20" customHeight="1">
      <c r="A3" s="53"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4" t="inlineStr">
        <is>
          <t>California King, Full, King, Queen, Twin</t>
        </is>
      </c>
      <c r="S4" s="11" t="inlineStr">
        <is>
          <t>Break-even ACoS</t>
        </is>
      </c>
      <c r="T4" s="54" t="inlineStr">
        <is>
          <t>n/a</t>
        </is>
      </c>
    </row>
    <row r="5" ht="22" customHeight="1">
      <c r="C5" s="11" t="inlineStr">
        <is>
          <t>Brand</t>
        </is>
      </c>
      <c r="D5" s="54" t="inlineStr">
        <is>
          <t>CooLinens</t>
        </is>
      </c>
      <c r="K5" s="11" t="inlineStr">
        <is>
          <t>Colours</t>
        </is>
      </c>
      <c r="L5" s="54" t="inlineStr">
        <is>
          <t>Beige, Cool Grey, Cream, Graphite, Light Blue, Light Grey, Light Pink, Midnight Black, Navy Blue, Regal Purple, Sage Green, White</t>
        </is>
      </c>
      <c r="S5" s="11" t="inlineStr">
        <is>
          <t>Units last 28 days</t>
        </is>
      </c>
      <c r="T5" s="54" t="inlineStr">
        <is>
          <t>42</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B0H6K5RPX6 (one of our child ASINs, not the Amazon parent)</t>
        </is>
      </c>
    </row>
    <row r="7" ht="22" customHeight="1">
      <c r="C7" s="11" t="inlineStr">
        <is>
          <t>Parent ASIN (Amazon)</t>
        </is>
      </c>
      <c r="D7" s="54" t="inlineStr">
        <is>
          <t>B0H6K5RPX6</t>
        </is>
      </c>
      <c r="K7" s="11" t="inlineStr">
        <is>
          <t>Rating / reviews now</t>
        </is>
      </c>
      <c r="L7" s="54" t="inlineStr">
        <is>
          <t>Not checked yet</t>
        </is>
      </c>
    </row>
    <row r="8" ht="22" customHeight="1">
      <c r="C8" s="11" t="inlineStr">
        <is>
          <t>Best-selling child ASIN</t>
        </is>
      </c>
      <c r="D8" s="54" t="n"/>
      <c r="K8" s="11" t="inlineStr">
        <is>
          <t>Live prices held</t>
        </is>
      </c>
      <c r="L8" s="54" t="inlineStr">
        <is>
          <t>6 of 60 variations</t>
        </is>
      </c>
    </row>
    <row r="9" ht="22" customHeight="1">
      <c r="C9" s="11" t="inlineStr">
        <is>
          <t>Stage</t>
        </is>
      </c>
      <c r="D9" s="54" t="inlineStr">
        <is>
          <t>Production</t>
        </is>
      </c>
      <c r="K9" s="11" t="inlineStr">
        <is>
          <t>Blended price (Command Center)</t>
        </is>
      </c>
      <c r="L9" s="54" t="n"/>
    </row>
    <row r="10">
      <c r="C10" s="11" t="inlineStr">
        <is>
          <t>Total variations (SKUs)</t>
        </is>
      </c>
      <c r="D10" s="54" t="n">
        <v>60</v>
      </c>
      <c r="K10" s="11" t="inlineStr">
        <is>
          <t>Contribution / unit</t>
        </is>
      </c>
      <c r="L10" s="54" t="inlineStr">
        <is>
          <t>n/a</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38</t>
        </is>
      </c>
      <c r="Q12" s="56" t="inlineStr">
        <is>
          <t>15</t>
        </is>
      </c>
      <c r="U12" s="56" t="inlineStr">
        <is>
          <t>1</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(60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2" t="n"/>
      <c r="M18" s="63" t="n">
        <v>30</v>
      </c>
      <c r="N18" s="32" t="inlineStr">
        <is>
          <t>Active</t>
        </is>
      </c>
      <c r="O18" s="32" t="n"/>
      <c r="P18" s="64" t="n"/>
      <c r="Q18" s="63" t="n"/>
      <c r="R18" s="63" t="n"/>
      <c r="S18" s="63"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59" t="n">
        <v>79.98999999999999</v>
      </c>
      <c r="H19" s="32" t="inlineStr">
        <is>
          <t>Helium 10 Xray, 2026-10-13</t>
        </is>
      </c>
      <c r="I19" s="33" t="n"/>
      <c r="J19" s="32" t="n"/>
      <c r="K19" s="33" t="n"/>
      <c r="L19" s="62" t="n"/>
      <c r="M19" s="63" t="n">
        <v>11</v>
      </c>
      <c r="N19" s="32" t="inlineStr">
        <is>
          <t>Active</t>
        </is>
      </c>
      <c r="O19" s="32" t="n"/>
      <c r="P19" s="64" t="n">
        <v>5</v>
      </c>
      <c r="Q19" s="63" t="n">
        <v>3</v>
      </c>
      <c r="R19" s="63" t="n">
        <v>1074515</v>
      </c>
      <c r="S19" s="63"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2" t="n"/>
      <c r="M20" s="63" t="n">
        <v>1</v>
      </c>
      <c r="N20" s="32" t="inlineStr">
        <is>
          <t>Active</t>
        </is>
      </c>
      <c r="O20" s="32" t="n"/>
      <c r="P20" s="64" t="n"/>
      <c r="Q20" s="63" t="n"/>
      <c r="R20" s="63" t="n"/>
      <c r="S20" s="63"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2" t="n"/>
      <c r="M21" s="63" t="n">
        <v>0</v>
      </c>
      <c r="N21" s="32" t="inlineStr">
        <is>
          <t>Active</t>
        </is>
      </c>
      <c r="O21" s="32" t="n"/>
      <c r="P21" s="64" t="n"/>
      <c r="Q21" s="63" t="n"/>
      <c r="R21" s="63" t="n"/>
      <c r="S21" s="63"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2" t="n"/>
      <c r="M22" s="63" t="n">
        <v>0</v>
      </c>
      <c r="N22" s="32" t="inlineStr">
        <is>
          <t>Active</t>
        </is>
      </c>
      <c r="O22" s="32" t="n"/>
      <c r="P22" s="64" t="n"/>
      <c r="Q22" s="63" t="n"/>
      <c r="R22" s="63" t="n"/>
      <c r="S22" s="63"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2" t="n"/>
      <c r="M23" s="63" t="n"/>
      <c r="N23" s="32" t="inlineStr">
        <is>
          <t>Active</t>
        </is>
      </c>
      <c r="O23" s="32" t="n"/>
      <c r="P23" s="64" t="n"/>
      <c r="Q23" s="63" t="n"/>
      <c r="R23" s="63" t="n"/>
      <c r="S23" s="63"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2" t="n"/>
      <c r="M24" s="63" t="n"/>
      <c r="N24" s="32" t="inlineStr">
        <is>
          <t>Active</t>
        </is>
      </c>
      <c r="O24" s="32" t="n"/>
      <c r="P24" s="64" t="n"/>
      <c r="Q24" s="63" t="n"/>
      <c r="R24" s="63" t="n"/>
      <c r="S24" s="63"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2" t="n"/>
      <c r="M25" s="63" t="n"/>
      <c r="N25" s="32" t="inlineStr">
        <is>
          <t>Active</t>
        </is>
      </c>
      <c r="O25" s="32" t="n"/>
      <c r="P25" s="64" t="n"/>
      <c r="Q25" s="63" t="n"/>
      <c r="R25" s="63" t="n"/>
      <c r="S25" s="63"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2" t="n"/>
      <c r="M26" s="63" t="n">
        <v>0</v>
      </c>
      <c r="N26" s="32" t="inlineStr">
        <is>
          <t>Active</t>
        </is>
      </c>
      <c r="O26" s="32" t="n"/>
      <c r="P26" s="64" t="n"/>
      <c r="Q26" s="63" t="n"/>
      <c r="R26" s="63" t="n"/>
      <c r="S26" s="63"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2" t="n"/>
      <c r="M27" s="63" t="n">
        <v>0</v>
      </c>
      <c r="N27" s="32" t="inlineStr">
        <is>
          <t>Active</t>
        </is>
      </c>
      <c r="O27" s="32" t="n"/>
      <c r="P27" s="64" t="n"/>
      <c r="Q27" s="63" t="n"/>
      <c r="R27" s="63" t="n"/>
      <c r="S27" s="63"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2" t="n"/>
      <c r="M28" s="63" t="n">
        <v>0</v>
      </c>
      <c r="N28" s="32" t="inlineStr">
        <is>
          <t>Active</t>
        </is>
      </c>
      <c r="O28" s="32" t="n"/>
      <c r="P28" s="64" t="n"/>
      <c r="Q28" s="63" t="n"/>
      <c r="R28" s="63" t="n"/>
      <c r="S28" s="63"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2" t="n"/>
      <c r="M29" s="63" t="n"/>
      <c r="N29" s="32" t="inlineStr">
        <is>
          <t>Active</t>
        </is>
      </c>
      <c r="O29" s="32" t="n"/>
      <c r="P29" s="64" t="n"/>
      <c r="Q29" s="63" t="n"/>
      <c r="R29" s="63" t="n"/>
      <c r="S29" s="63"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2" t="n"/>
      <c r="M30" s="63" t="n">
        <v>0</v>
      </c>
      <c r="N30" s="32" t="inlineStr">
        <is>
          <t>Active</t>
        </is>
      </c>
      <c r="O30" s="32" t="n"/>
      <c r="P30" s="64" t="n"/>
      <c r="Q30" s="63" t="n"/>
      <c r="R30" s="63" t="n"/>
      <c r="S30" s="63"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2" t="n"/>
      <c r="M31" s="63" t="n">
        <v>0</v>
      </c>
      <c r="N31" s="32" t="inlineStr">
        <is>
          <t>Active</t>
        </is>
      </c>
      <c r="O31" s="32" t="n"/>
      <c r="P31" s="64" t="n"/>
      <c r="Q31" s="63" t="n"/>
      <c r="R31" s="63" t="n"/>
      <c r="S31" s="63"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2" t="n"/>
      <c r="M32" s="63" t="n">
        <v>0</v>
      </c>
      <c r="N32" s="32" t="inlineStr">
        <is>
          <t>Active</t>
        </is>
      </c>
      <c r="O32" s="32" t="n"/>
      <c r="P32" s="64" t="n"/>
      <c r="Q32" s="63" t="n"/>
      <c r="R32" s="63" t="n"/>
      <c r="S32" s="63"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2" t="n"/>
      <c r="M33" s="63" t="n"/>
      <c r="N33" s="32" t="inlineStr">
        <is>
          <t>Active</t>
        </is>
      </c>
      <c r="O33" s="32" t="n"/>
      <c r="P33" s="64" t="n"/>
      <c r="Q33" s="63" t="n"/>
      <c r="R33" s="63" t="n"/>
      <c r="S33" s="63"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59" t="n">
        <v>67.98999999999999</v>
      </c>
      <c r="H34" s="32" t="inlineStr">
        <is>
          <t>Helium 10 Xray, 2026-10-13</t>
        </is>
      </c>
      <c r="I34" s="33" t="n"/>
      <c r="J34" s="32" t="n"/>
      <c r="K34" s="33" t="n"/>
      <c r="L34" s="62" t="n"/>
      <c r="M34" s="63" t="n">
        <v>0</v>
      </c>
      <c r="N34" s="32" t="inlineStr">
        <is>
          <t>Active</t>
        </is>
      </c>
      <c r="O34" s="32" t="n"/>
      <c r="P34" s="64" t="n"/>
      <c r="Q34" s="63" t="n">
        <v>0</v>
      </c>
      <c r="R34" s="63" t="n">
        <v>1021435</v>
      </c>
      <c r="S34" s="63" t="n">
        <v>0</v>
      </c>
      <c r="T34" s="65"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2" t="n"/>
      <c r="M35" s="63" t="n"/>
      <c r="N35" s="32" t="inlineStr">
        <is>
          <t>Active</t>
        </is>
      </c>
      <c r="O35" s="32" t="n"/>
      <c r="P35" s="64" t="n"/>
      <c r="Q35" s="63" t="n"/>
      <c r="R35" s="63" t="n"/>
      <c r="S35" s="63"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2" t="n"/>
      <c r="M36" s="63" t="n">
        <v>0</v>
      </c>
      <c r="N36" s="32" t="inlineStr">
        <is>
          <t>Active</t>
        </is>
      </c>
      <c r="O36" s="32" t="n"/>
      <c r="P36" s="64" t="n"/>
      <c r="Q36" s="63" t="n"/>
      <c r="R36" s="63" t="n"/>
      <c r="S36" s="63"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2" t="n"/>
      <c r="M37" s="63" t="n">
        <v>0</v>
      </c>
      <c r="N37" s="32" t="inlineStr">
        <is>
          <t>Active</t>
        </is>
      </c>
      <c r="O37" s="32" t="n"/>
      <c r="P37" s="64" t="n"/>
      <c r="Q37" s="63" t="n"/>
      <c r="R37" s="63" t="n"/>
      <c r="S37" s="63"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2" t="n"/>
      <c r="M38" s="63" t="n">
        <v>0</v>
      </c>
      <c r="N38" s="32" t="inlineStr">
        <is>
          <t>Active</t>
        </is>
      </c>
      <c r="O38" s="32" t="n"/>
      <c r="P38" s="64" t="n"/>
      <c r="Q38" s="63" t="n"/>
      <c r="R38" s="63" t="n"/>
      <c r="S38" s="63"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59" t="n">
        <v>67.98999999999999</v>
      </c>
      <c r="H39" s="32" t="inlineStr">
        <is>
          <t>Helium 10 Xray, 2026-10-13</t>
        </is>
      </c>
      <c r="I39" s="33" t="n"/>
      <c r="J39" s="32" t="n"/>
      <c r="K39" s="33" t="n"/>
      <c r="L39" s="62" t="n"/>
      <c r="M39" s="63" t="n">
        <v>0</v>
      </c>
      <c r="N39" s="32" t="inlineStr">
        <is>
          <t>Active</t>
        </is>
      </c>
      <c r="O39" s="32" t="n"/>
      <c r="P39" s="64" t="n"/>
      <c r="Q39" s="63" t="n">
        <v>0</v>
      </c>
      <c r="R39" s="63" t="n"/>
      <c r="S39" s="63" t="n">
        <v>0</v>
      </c>
      <c r="T39" s="65"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2" t="n"/>
      <c r="M40" s="63" t="n"/>
      <c r="N40" s="32" t="inlineStr">
        <is>
          <t>Active</t>
        </is>
      </c>
      <c r="O40" s="32" t="n"/>
      <c r="P40" s="64" t="n"/>
      <c r="Q40" s="63" t="n"/>
      <c r="R40" s="63" t="n"/>
      <c r="S40" s="63"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2" t="n"/>
      <c r="M41" s="63" t="n"/>
      <c r="N41" s="32" t="inlineStr">
        <is>
          <t>Active</t>
        </is>
      </c>
      <c r="O41" s="32" t="n"/>
      <c r="P41" s="64" t="n"/>
      <c r="Q41" s="63" t="n"/>
      <c r="R41" s="63" t="n"/>
      <c r="S41" s="63"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59" t="n">
        <v>67.98999999999999</v>
      </c>
      <c r="H42" s="32" t="inlineStr">
        <is>
          <t>Helium 10 Xray, 2026-10-13</t>
        </is>
      </c>
      <c r="I42" s="33" t="n"/>
      <c r="J42" s="32" t="n"/>
      <c r="K42" s="33" t="n"/>
      <c r="L42" s="62" t="n"/>
      <c r="M42" s="63" t="n">
        <v>0</v>
      </c>
      <c r="N42" s="32" t="inlineStr">
        <is>
          <t>Active</t>
        </is>
      </c>
      <c r="O42" s="32" t="n"/>
      <c r="P42" s="64" t="n"/>
      <c r="Q42" s="63" t="n">
        <v>0</v>
      </c>
      <c r="R42" s="63" t="n">
        <v>1021434</v>
      </c>
      <c r="S42" s="63" t="n">
        <v>0</v>
      </c>
      <c r="T42" s="65"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2" t="n"/>
      <c r="M43" s="63" t="n">
        <v>0</v>
      </c>
      <c r="N43" s="32" t="inlineStr">
        <is>
          <t>Active</t>
        </is>
      </c>
      <c r="O43" s="32" t="n"/>
      <c r="P43" s="64" t="n"/>
      <c r="Q43" s="63" t="n"/>
      <c r="R43" s="63" t="n"/>
      <c r="S43" s="63"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2" t="n"/>
      <c r="M44" s="63" t="n">
        <v>0</v>
      </c>
      <c r="N44" s="32" t="inlineStr">
        <is>
          <t>Active</t>
        </is>
      </c>
      <c r="O44" s="32" t="n"/>
      <c r="P44" s="64" t="n"/>
      <c r="Q44" s="63" t="n"/>
      <c r="R44" s="63" t="n"/>
      <c r="S44" s="63"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2" t="n"/>
      <c r="M45" s="63" t="n">
        <v>0</v>
      </c>
      <c r="N45" s="32" t="inlineStr">
        <is>
          <t>Active</t>
        </is>
      </c>
      <c r="O45" s="32" t="n"/>
      <c r="P45" s="64" t="n"/>
      <c r="Q45" s="63" t="n"/>
      <c r="R45" s="63" t="n"/>
      <c r="S45" s="63"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2" t="n"/>
      <c r="M46" s="63" t="n"/>
      <c r="N46" s="32" t="inlineStr">
        <is>
          <t>Active</t>
        </is>
      </c>
      <c r="O46" s="32" t="n"/>
      <c r="P46" s="64" t="n"/>
      <c r="Q46" s="63" t="n"/>
      <c r="R46" s="63" t="n"/>
      <c r="S46" s="63"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59" t="n">
        <v>84.98999999999999</v>
      </c>
      <c r="H47" s="32" t="inlineStr">
        <is>
          <t>Helium 10 Xray, 2026-10-13</t>
        </is>
      </c>
      <c r="I47" s="33" t="n"/>
      <c r="J47" s="32" t="n"/>
      <c r="K47" s="33" t="n"/>
      <c r="L47" s="62" t="n"/>
      <c r="M47" s="63" t="n">
        <v>0</v>
      </c>
      <c r="N47" s="32" t="inlineStr">
        <is>
          <t>Active</t>
        </is>
      </c>
      <c r="O47" s="32" t="n"/>
      <c r="P47" s="64" t="n">
        <v>5</v>
      </c>
      <c r="Q47" s="63" t="n">
        <v>3</v>
      </c>
      <c r="R47" s="63" t="n">
        <v>1021342</v>
      </c>
      <c r="S47" s="63" t="n">
        <v>0</v>
      </c>
      <c r="T47" s="65"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2" t="n"/>
      <c r="M48" s="63" t="n">
        <v>0</v>
      </c>
      <c r="N48" s="32" t="inlineStr">
        <is>
          <t>Active</t>
        </is>
      </c>
      <c r="O48" s="32" t="n"/>
      <c r="P48" s="64" t="n"/>
      <c r="Q48" s="63" t="n"/>
      <c r="R48" s="63" t="n"/>
      <c r="S48" s="63"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2" t="n"/>
      <c r="M49" s="63" t="n"/>
      <c r="N49" s="32" t="inlineStr">
        <is>
          <t>Active</t>
        </is>
      </c>
      <c r="O49" s="32" t="n"/>
      <c r="P49" s="64" t="n"/>
      <c r="Q49" s="63" t="n"/>
      <c r="R49" s="63" t="n"/>
      <c r="S49" s="63"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2" t="n"/>
      <c r="M50" s="63" t="n">
        <v>0</v>
      </c>
      <c r="N50" s="32" t="inlineStr">
        <is>
          <t>Active</t>
        </is>
      </c>
      <c r="O50" s="32" t="n"/>
      <c r="P50" s="64" t="n"/>
      <c r="Q50" s="63" t="n"/>
      <c r="R50" s="63" t="n"/>
      <c r="S50" s="63"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2" t="n"/>
      <c r="M51" s="63" t="n">
        <v>0</v>
      </c>
      <c r="N51" s="32" t="inlineStr">
        <is>
          <t>Active</t>
        </is>
      </c>
      <c r="O51" s="32" t="n"/>
      <c r="P51" s="64" t="n"/>
      <c r="Q51" s="63" t="n"/>
      <c r="R51" s="63" t="n"/>
      <c r="S51" s="63"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2" t="n"/>
      <c r="M52" s="63" t="n">
        <v>0</v>
      </c>
      <c r="N52" s="32" t="inlineStr">
        <is>
          <t>Active</t>
        </is>
      </c>
      <c r="O52" s="32" t="n"/>
      <c r="P52" s="64" t="n"/>
      <c r="Q52" s="63" t="n"/>
      <c r="R52" s="63" t="n"/>
      <c r="S52" s="63"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2" t="n"/>
      <c r="M53" s="63" t="n">
        <v>0</v>
      </c>
      <c r="N53" s="32" t="inlineStr">
        <is>
          <t>Active</t>
        </is>
      </c>
      <c r="O53" s="32" t="n"/>
      <c r="P53" s="64" t="n"/>
      <c r="Q53" s="63" t="n"/>
      <c r="R53" s="63" t="n"/>
      <c r="S53" s="63"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2" t="n"/>
      <c r="M54" s="63" t="n">
        <v>0</v>
      </c>
      <c r="N54" s="32" t="inlineStr">
        <is>
          <t>Active</t>
        </is>
      </c>
      <c r="O54" s="32" t="n"/>
      <c r="P54" s="64" t="n"/>
      <c r="Q54" s="63" t="n"/>
      <c r="R54" s="63" t="n"/>
      <c r="S54" s="63"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2" t="n"/>
      <c r="M55" s="63" t="n">
        <v>0</v>
      </c>
      <c r="N55" s="32" t="inlineStr">
        <is>
          <t>Active</t>
        </is>
      </c>
      <c r="O55" s="32" t="n"/>
      <c r="P55" s="64" t="n"/>
      <c r="Q55" s="63" t="n"/>
      <c r="R55" s="63" t="n"/>
      <c r="S55" s="63"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59" t="n">
        <v>79.98999999999999</v>
      </c>
      <c r="H56" s="32" t="inlineStr">
        <is>
          <t>Helium 10 Xray, 2026-10-13</t>
        </is>
      </c>
      <c r="I56" s="33" t="n"/>
      <c r="J56" s="32" t="n"/>
      <c r="K56" s="33" t="n"/>
      <c r="L56" s="62" t="n"/>
      <c r="M56" s="63" t="n">
        <v>0</v>
      </c>
      <c r="N56" s="32" t="inlineStr">
        <is>
          <t>Active</t>
        </is>
      </c>
      <c r="O56" s="32" t="n"/>
      <c r="P56" s="64" t="n">
        <v>5</v>
      </c>
      <c r="Q56" s="63" t="n">
        <v>4</v>
      </c>
      <c r="R56" s="63" t="n">
        <v>777853</v>
      </c>
      <c r="S56" s="63" t="n">
        <v>0</v>
      </c>
      <c r="T56" s="65"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2" t="n"/>
      <c r="M57" s="63" t="n"/>
      <c r="N57" s="32" t="inlineStr">
        <is>
          <t>Active</t>
        </is>
      </c>
      <c r="O57" s="32" t="n"/>
      <c r="P57" s="64" t="n"/>
      <c r="Q57" s="63" t="n"/>
      <c r="R57" s="63" t="n"/>
      <c r="S57" s="63"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2" t="n"/>
      <c r="M58" s="63" t="n">
        <v>0</v>
      </c>
      <c r="N58" s="32" t="inlineStr">
        <is>
          <t>Active</t>
        </is>
      </c>
      <c r="O58" s="32" t="n"/>
      <c r="P58" s="64" t="n"/>
      <c r="Q58" s="63" t="n"/>
      <c r="R58" s="63" t="n"/>
      <c r="S58" s="63"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2" t="n"/>
      <c r="M59" s="63" t="n">
        <v>0</v>
      </c>
      <c r="N59" s="32" t="inlineStr">
        <is>
          <t>Active</t>
        </is>
      </c>
      <c r="O59" s="32" t="n"/>
      <c r="P59" s="64" t="n"/>
      <c r="Q59" s="63" t="n"/>
      <c r="R59" s="63" t="n"/>
      <c r="S59" s="63"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2" t="n"/>
      <c r="M60" s="63" t="n"/>
      <c r="N60" s="32" t="inlineStr">
        <is>
          <t>Active</t>
        </is>
      </c>
      <c r="O60" s="32" t="n"/>
      <c r="P60" s="64" t="n"/>
      <c r="Q60" s="63" t="n"/>
      <c r="R60" s="63" t="n"/>
      <c r="S60" s="63"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2" t="n"/>
      <c r="M61" s="63" t="n">
        <v>0</v>
      </c>
      <c r="N61" s="32" t="inlineStr">
        <is>
          <t>Active</t>
        </is>
      </c>
      <c r="O61" s="32" t="n"/>
      <c r="P61" s="64" t="n"/>
      <c r="Q61" s="63" t="n"/>
      <c r="R61" s="63" t="n"/>
      <c r="S61" s="63"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2" t="n"/>
      <c r="M62" s="63" t="n"/>
      <c r="N62" s="32" t="inlineStr">
        <is>
          <t>Active</t>
        </is>
      </c>
      <c r="O62" s="32" t="n"/>
      <c r="P62" s="64" t="n"/>
      <c r="Q62" s="63" t="n"/>
      <c r="R62" s="63" t="n"/>
      <c r="S62" s="63"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2" t="n"/>
      <c r="M63" s="63" t="n">
        <v>0</v>
      </c>
      <c r="N63" s="32" t="inlineStr">
        <is>
          <t>Active</t>
        </is>
      </c>
      <c r="O63" s="32" t="n"/>
      <c r="P63" s="64" t="n"/>
      <c r="Q63" s="63" t="n"/>
      <c r="R63" s="63" t="n"/>
      <c r="S63" s="63"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2" t="n"/>
      <c r="M64" s="63" t="n">
        <v>0</v>
      </c>
      <c r="N64" s="32" t="inlineStr">
        <is>
          <t>Active</t>
        </is>
      </c>
      <c r="O64" s="32" t="n"/>
      <c r="P64" s="64" t="n"/>
      <c r="Q64" s="63" t="n"/>
      <c r="R64" s="63" t="n"/>
      <c r="S64" s="63"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2" t="n"/>
      <c r="M65" s="63" t="n">
        <v>0</v>
      </c>
      <c r="N65" s="32" t="inlineStr">
        <is>
          <t>Active</t>
        </is>
      </c>
      <c r="O65" s="32" t="n"/>
      <c r="P65" s="64" t="n"/>
      <c r="Q65" s="63" t="n"/>
      <c r="R65" s="63" t="n"/>
      <c r="S65" s="63"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2" t="n"/>
      <c r="M66" s="63" t="n">
        <v>0</v>
      </c>
      <c r="N66" s="32" t="inlineStr">
        <is>
          <t>Active</t>
        </is>
      </c>
      <c r="O66" s="32" t="n"/>
      <c r="P66" s="64" t="n"/>
      <c r="Q66" s="63" t="n"/>
      <c r="R66" s="63" t="n"/>
      <c r="S66" s="63"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2" t="n"/>
      <c r="M67" s="63" t="n"/>
      <c r="N67" s="32" t="inlineStr">
        <is>
          <t>Active</t>
        </is>
      </c>
      <c r="O67" s="32" t="n"/>
      <c r="P67" s="64" t="n"/>
      <c r="Q67" s="63" t="n"/>
      <c r="R67" s="63" t="n"/>
      <c r="S67" s="63"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2" t="n"/>
      <c r="M68" s="63" t="n"/>
      <c r="N68" s="32" t="inlineStr">
        <is>
          <t>Active</t>
        </is>
      </c>
      <c r="O68" s="32" t="n"/>
      <c r="P68" s="64" t="n"/>
      <c r="Q68" s="63" t="n"/>
      <c r="R68" s="63" t="n"/>
      <c r="S68" s="63"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2" t="n"/>
      <c r="M69" s="63" t="n">
        <v>0</v>
      </c>
      <c r="N69" s="32" t="inlineStr">
        <is>
          <t>Active</t>
        </is>
      </c>
      <c r="O69" s="32" t="n"/>
      <c r="P69" s="64" t="n"/>
      <c r="Q69" s="63" t="n"/>
      <c r="R69" s="63" t="n"/>
      <c r="S69" s="63"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2" t="n"/>
      <c r="M70" s="63" t="n"/>
      <c r="N70" s="32" t="inlineStr">
        <is>
          <t>Active</t>
        </is>
      </c>
      <c r="O70" s="32" t="n"/>
      <c r="P70" s="64" t="n"/>
      <c r="Q70" s="63" t="n"/>
      <c r="R70" s="63" t="n"/>
      <c r="S70" s="63"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2" t="n"/>
      <c r="M71" s="63" t="n"/>
      <c r="N71" s="32" t="inlineStr">
        <is>
          <t>Active</t>
        </is>
      </c>
      <c r="O71" s="32" t="n"/>
      <c r="P71" s="64" t="n"/>
      <c r="Q71" s="63" t="n"/>
      <c r="R71" s="63" t="n"/>
      <c r="S71" s="63"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2" t="n"/>
      <c r="M72" s="63" t="n"/>
      <c r="N72" s="32" t="inlineStr">
        <is>
          <t>Active</t>
        </is>
      </c>
      <c r="O72" s="32" t="n"/>
      <c r="P72" s="64" t="n"/>
      <c r="Q72" s="63" t="n"/>
      <c r="R72" s="63" t="n"/>
      <c r="S72" s="63"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2" t="n"/>
      <c r="M73" s="63" t="n"/>
      <c r="N73" s="32" t="inlineStr">
        <is>
          <t>Active</t>
        </is>
      </c>
      <c r="O73" s="32" t="n"/>
      <c r="P73" s="64" t="n"/>
      <c r="Q73" s="63" t="n"/>
      <c r="R73" s="63" t="n"/>
      <c r="S73" s="63"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2" t="n"/>
      <c r="M74" s="63" t="n">
        <v>0</v>
      </c>
      <c r="N74" s="32" t="inlineStr">
        <is>
          <t>Active</t>
        </is>
      </c>
      <c r="O74" s="32" t="n"/>
      <c r="P74" s="64" t="n"/>
      <c r="Q74" s="63" t="n"/>
      <c r="R74" s="63" t="n"/>
      <c r="S74" s="63"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2" t="n"/>
      <c r="M75" s="63" t="n"/>
      <c r="N75" s="32" t="inlineStr">
        <is>
          <t>Active</t>
        </is>
      </c>
      <c r="O75" s="32" t="n"/>
      <c r="P75" s="64" t="n"/>
      <c r="Q75" s="63" t="n"/>
      <c r="R75" s="63" t="n"/>
      <c r="S75" s="63"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2" t="n"/>
      <c r="M76" s="63" t="n"/>
      <c r="N76" s="32" t="inlineStr">
        <is>
          <t>Active</t>
        </is>
      </c>
      <c r="O76" s="32" t="n"/>
      <c r="P76" s="64" t="n"/>
      <c r="Q76" s="63" t="n"/>
      <c r="R76" s="63" t="n"/>
      <c r="S76" s="63"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2" t="n"/>
      <c r="M77" s="63" t="n">
        <v>0</v>
      </c>
      <c r="N77" s="32" t="inlineStr">
        <is>
          <t>Active</t>
        </is>
      </c>
      <c r="O77" s="32" t="n"/>
      <c r="P77" s="64" t="n"/>
      <c r="Q77" s="63" t="n"/>
      <c r="R77" s="63" t="n"/>
      <c r="S77" s="63" t="n"/>
      <c r="T77" s="32" t="n"/>
    </row>
    <row r="79" ht="20" customHeight="1">
      <c r="A79" s="53" t="inlineStr">
        <is>
          <t>3 · OUR BFCM 2025 RESULT &amp; EVENT VISIBILITY</t>
        </is>
      </c>
    </row>
    <row r="80">
      <c r="A80" s="66" t="inlineStr">
        <is>
          <t>Window</t>
        </is>
      </c>
      <c r="B80" s="67" t="n"/>
      <c r="C80" s="68" t="n"/>
      <c r="D80" s="66" t="inlineStr">
        <is>
          <t>Ad spend</t>
        </is>
      </c>
      <c r="E80" s="66" t="inlineStr">
        <is>
          <t>Ad sales</t>
        </is>
      </c>
      <c r="F80" s="66" t="inlineStr">
        <is>
          <t>ACoS</t>
        </is>
      </c>
      <c r="G80" s="66" t="inlineStr">
        <is>
          <t>TACoS</t>
        </is>
      </c>
      <c r="H80" s="66" t="inlineStr">
        <is>
          <t>Total sales (derived)</t>
        </is>
      </c>
      <c r="J80" s="66" t="inlineStr">
        <is>
          <t>Ad orders</t>
        </is>
      </c>
      <c r="K80" s="66" t="inlineStr">
        <is>
          <t>CVR</t>
        </is>
      </c>
    </row>
    <row r="81">
      <c r="A81" s="69" t="inlineStr">
        <is>
          <t>Pre-event Oct 21 - Nov 19, 2025 (30d)</t>
        </is>
      </c>
      <c r="B81" s="67" t="n"/>
      <c r="C81" s="68" t="n"/>
      <c r="D81" s="70" t="n"/>
      <c r="E81" s="70" t="n"/>
      <c r="F81" s="71" t="n"/>
      <c r="G81" s="71" t="n"/>
      <c r="H81" s="70" t="n"/>
      <c r="J81" s="72" t="n"/>
      <c r="K81" s="73" t="n"/>
    </row>
    <row r="82">
      <c r="A82" s="69" t="inlineStr">
        <is>
          <t>BFCM week Nov 20 - Dec 1, 2025 (12d)</t>
        </is>
      </c>
      <c r="B82" s="67" t="n"/>
      <c r="C82" s="68" t="n"/>
      <c r="D82" s="70" t="n"/>
      <c r="E82" s="70" t="n"/>
      <c r="F82" s="71" t="n"/>
      <c r="G82" s="71" t="n"/>
      <c r="H82" s="70" t="n"/>
      <c r="J82" s="72" t="n"/>
      <c r="K82" s="73" t="n"/>
    </row>
    <row r="83">
      <c r="A83" s="69" t="inlineStr">
        <is>
          <t>December 2 - 31, 2025 (30d)</t>
        </is>
      </c>
      <c r="B83" s="67" t="n"/>
      <c r="C83" s="68" t="n"/>
      <c r="D83" s="70" t="n"/>
      <c r="E83" s="70" t="n"/>
      <c r="F83" s="71" t="n"/>
      <c r="G83" s="71" t="n"/>
      <c r="H83" s="70" t="n"/>
      <c r="J83" s="72" t="n"/>
      <c r="K83" s="73" t="n"/>
    </row>
    <row r="84" ht="18" customHeight="1">
      <c r="A84" s="110" t="inlineStr">
        <is>
          <t>BFCM 2026 plan (BM, Oct 15, 2026): NOT IN A DEAL. BM confirmed that products without a planned deal are not in any BFCM 2026 deal; they sell at their regular price.</t>
        </is>
      </c>
    </row>
    <row r="85">
      <c r="A85" s="58" t="inlineStr">
        <is>
          <t>No Command Center visibility history for our best child ASIN.</t>
        </is>
      </c>
    </row>
    <row r="86">
      <c r="A86" s="111" t="inlineStr">
        <is>
          <t>No BFCM 2025 PPC data for this product (not advertised or launched after BFCM 2025).</t>
        </is>
      </c>
    </row>
    <row r="88" ht="20" customHeight="1">
      <c r="A88" s="53" t="inlineStr">
        <is>
          <t>4 · COMPETITOR LANDSCAPE (38 mapped)</t>
        </is>
      </c>
    </row>
    <row r="89">
      <c r="A89" s="58"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COMING SOON</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COMING SOON</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3"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CooLinens Cooling Pillowcases 2 Piece  ·  Amazon.com (US)  ·  Cooling  ·  BFCM role: Launch  ·  Scope: Other</t>
        </is>
      </c>
    </row>
    <row r="2">
      <c r="A2" s="52" t="inlineStr">
        <is>
          <t>← Dashboard</t>
        </is>
      </c>
    </row>
    <row r="3" ht="20" customHeight="1">
      <c r="A3" s="53"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4" t="inlineStr">
        <is>
          <t>King, Queen, Standard</t>
        </is>
      </c>
      <c r="S4" s="11" t="inlineStr">
        <is>
          <t>Break-even ACoS</t>
        </is>
      </c>
      <c r="T4" s="54" t="inlineStr">
        <is>
          <t>n/a</t>
        </is>
      </c>
    </row>
    <row r="5" ht="22" customHeight="1">
      <c r="C5" s="11" t="inlineStr">
        <is>
          <t>Brand</t>
        </is>
      </c>
      <c r="D5" s="54" t="inlineStr">
        <is>
          <t>CooLinens</t>
        </is>
      </c>
      <c r="K5" s="11" t="inlineStr">
        <is>
          <t>Colours</t>
        </is>
      </c>
      <c r="L5" s="54" t="inlineStr">
        <is>
          <t>Blue, Dark Grey, Light Grey, White</t>
        </is>
      </c>
      <c r="S5" s="11" t="inlineStr">
        <is>
          <t>Units last 28 days</t>
        </is>
      </c>
      <c r="T5" s="54" t="inlineStr">
        <is>
          <t>310</t>
        </is>
      </c>
    </row>
    <row r="6" ht="22" customHeight="1">
      <c r="C6" s="11" t="inlineStr">
        <is>
          <t>Marketplace</t>
        </is>
      </c>
      <c r="D6" s="54" t="inlineStr">
        <is>
          <t>Amazon.com (US)</t>
        </is>
      </c>
      <c r="K6" s="11" t="inlineStr">
        <is>
          <t>Price now, best child</t>
        </is>
      </c>
      <c r="L6" s="54" t="inlineStr">
        <is>
          <t>$19.99 (Helium 10 Xray, 2026-10-13)</t>
        </is>
      </c>
      <c r="S6" s="11" t="inlineStr">
        <is>
          <t>Command Center product ASIN</t>
        </is>
      </c>
      <c r="T6" s="54" t="inlineStr">
        <is>
          <t>B0H5X3L7M3 (one of our child ASINs, not the Amazon parent)</t>
        </is>
      </c>
    </row>
    <row r="7" ht="22" customHeight="1">
      <c r="C7" s="11" t="inlineStr">
        <is>
          <t>Parent ASIN (Amazon)</t>
        </is>
      </c>
      <c r="D7" s="54" t="inlineStr">
        <is>
          <t>B0HLSNQNCK</t>
        </is>
      </c>
      <c r="K7" s="11" t="inlineStr">
        <is>
          <t>Rating / reviews now</t>
        </is>
      </c>
      <c r="L7" s="54" t="inlineStr">
        <is>
          <t>4.7 / 238 (Helium 10 Xray, 2026-10-13)</t>
        </is>
      </c>
    </row>
    <row r="8" ht="22" customHeight="1">
      <c r="C8" s="11" t="inlineStr">
        <is>
          <t>Best-selling child ASIN</t>
        </is>
      </c>
      <c r="D8" s="54" t="inlineStr">
        <is>
          <t>B0H5WWMPNN</t>
        </is>
      </c>
      <c r="K8" s="11" t="inlineStr">
        <is>
          <t>Live prices held</t>
        </is>
      </c>
      <c r="L8" s="54" t="inlineStr">
        <is>
          <t>12 of 12 variations</t>
        </is>
      </c>
    </row>
    <row r="9" ht="22" customHeight="1">
      <c r="C9" s="11" t="inlineStr">
        <is>
          <t>Stage</t>
        </is>
      </c>
      <c r="D9" s="54" t="inlineStr">
        <is>
          <t>Launch</t>
        </is>
      </c>
      <c r="K9" s="11" t="inlineStr">
        <is>
          <t>Blended price (Command Center)</t>
        </is>
      </c>
      <c r="L9" s="54" t="n"/>
    </row>
    <row r="10">
      <c r="C10" s="11" t="inlineStr">
        <is>
          <t>Total variations (SKUs)</t>
        </is>
      </c>
      <c r="D10" s="54" t="n">
        <v>12</v>
      </c>
      <c r="K10" s="11" t="inlineStr">
        <is>
          <t>Contribution / unit</t>
        </is>
      </c>
      <c r="L10" s="54" t="inlineStr">
        <is>
          <t>n/a</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15</t>
        </is>
      </c>
      <c r="Q12" s="56" t="inlineStr">
        <is>
          <t>5</t>
        </is>
      </c>
      <c r="U12" s="56" t="inlineStr">
        <is>
          <t>0</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(12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59" t="n">
        <v>19.99</v>
      </c>
      <c r="H18" s="32" t="inlineStr">
        <is>
          <t>Helium 10 Xray, 2026-10-13</t>
        </is>
      </c>
      <c r="I18" s="33" t="n"/>
      <c r="J18" s="32" t="n"/>
      <c r="K18" s="33" t="n"/>
      <c r="L18" s="62" t="n"/>
      <c r="M18" s="63" t="n">
        <v>39</v>
      </c>
      <c r="N18" s="32" t="inlineStr">
        <is>
          <t>Active</t>
        </is>
      </c>
      <c r="O18" s="32" t="inlineStr">
        <is>
          <t>Yes (14%)</t>
        </is>
      </c>
      <c r="P18" s="64" t="n">
        <v>4.7</v>
      </c>
      <c r="Q18" s="63" t="n">
        <v>238</v>
      </c>
      <c r="R18" s="63" t="n">
        <v>22338</v>
      </c>
      <c r="S18" s="63"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59" t="n">
        <v>17.99</v>
      </c>
      <c r="H19" s="32" t="inlineStr">
        <is>
          <t>Helium 10 Xray, 2026-10-13</t>
        </is>
      </c>
      <c r="I19" s="33" t="n"/>
      <c r="J19" s="32" t="n"/>
      <c r="K19" s="33" t="n"/>
      <c r="L19" s="62" t="n"/>
      <c r="M19" s="63" t="n">
        <v>36</v>
      </c>
      <c r="N19" s="32" t="inlineStr">
        <is>
          <t>Active</t>
        </is>
      </c>
      <c r="O19" s="32" t="inlineStr">
        <is>
          <t>Yes (16%)</t>
        </is>
      </c>
      <c r="P19" s="64" t="n">
        <v>4.7</v>
      </c>
      <c r="Q19" s="63" t="n">
        <v>238</v>
      </c>
      <c r="R19" s="63" t="n">
        <v>22338</v>
      </c>
      <c r="S19" s="63"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59" t="n">
        <v>19.99</v>
      </c>
      <c r="H20" s="32" t="inlineStr">
        <is>
          <t>Helium 10 Xray, 2026-10-13</t>
        </is>
      </c>
      <c r="I20" s="33" t="n"/>
      <c r="J20" s="32" t="n"/>
      <c r="K20" s="33" t="n"/>
      <c r="L20" s="62" t="n"/>
      <c r="M20" s="63" t="n">
        <v>34</v>
      </c>
      <c r="N20" s="32" t="inlineStr">
        <is>
          <t>Active</t>
        </is>
      </c>
      <c r="O20" s="32" t="inlineStr">
        <is>
          <t>Yes (11%)</t>
        </is>
      </c>
      <c r="P20" s="64" t="n">
        <v>4.7</v>
      </c>
      <c r="Q20" s="63" t="n">
        <v>238</v>
      </c>
      <c r="R20" s="63" t="n">
        <v>22333</v>
      </c>
      <c r="S20" s="63"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59" t="n">
        <v>19.99</v>
      </c>
      <c r="H21" s="32" t="inlineStr">
        <is>
          <t>Helium 10 Xray, 2026-10-13</t>
        </is>
      </c>
      <c r="I21" s="33" t="n"/>
      <c r="J21" s="32" t="n"/>
      <c r="K21" s="33" t="n"/>
      <c r="L21" s="62" t="n"/>
      <c r="M21" s="63" t="n">
        <v>33</v>
      </c>
      <c r="N21" s="32" t="inlineStr">
        <is>
          <t>Active</t>
        </is>
      </c>
      <c r="O21" s="32" t="inlineStr">
        <is>
          <t>Yes (13%)</t>
        </is>
      </c>
      <c r="P21" s="64" t="n">
        <v>4.7</v>
      </c>
      <c r="Q21" s="63" t="n">
        <v>238</v>
      </c>
      <c r="R21" s="63" t="n">
        <v>22338</v>
      </c>
      <c r="S21" s="63"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59" t="n">
        <v>20.99</v>
      </c>
      <c r="H22" s="32" t="inlineStr">
        <is>
          <t>Helium 10 Xray, 2026-10-13</t>
        </is>
      </c>
      <c r="I22" s="33" t="n"/>
      <c r="J22" s="32" t="n"/>
      <c r="K22" s="33" t="n"/>
      <c r="L22" s="62" t="n"/>
      <c r="M22" s="63" t="n">
        <v>31</v>
      </c>
      <c r="N22" s="32" t="inlineStr">
        <is>
          <t>Active</t>
        </is>
      </c>
      <c r="O22" s="32" t="n"/>
      <c r="P22" s="64" t="n">
        <v>4.7</v>
      </c>
      <c r="Q22" s="63" t="n">
        <v>238</v>
      </c>
      <c r="R22" s="63" t="n">
        <v>22338</v>
      </c>
      <c r="S22" s="63"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59" t="n">
        <v>17.99</v>
      </c>
      <c r="H23" s="32" t="inlineStr">
        <is>
          <t>Helium 10 Xray, 2026-10-13</t>
        </is>
      </c>
      <c r="I23" s="33" t="n"/>
      <c r="J23" s="32" t="n"/>
      <c r="K23" s="33" t="n"/>
      <c r="L23" s="62" t="n"/>
      <c r="M23" s="63" t="n">
        <v>31</v>
      </c>
      <c r="N23" s="32" t="inlineStr">
        <is>
          <t>Active</t>
        </is>
      </c>
      <c r="O23" s="32" t="inlineStr">
        <is>
          <t>Yes (12%)</t>
        </is>
      </c>
      <c r="P23" s="64" t="n">
        <v>4.7</v>
      </c>
      <c r="Q23" s="63" t="n">
        <v>238</v>
      </c>
      <c r="R23" s="63" t="n">
        <v>22333</v>
      </c>
      <c r="S23" s="63"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59" t="n">
        <v>17.99</v>
      </c>
      <c r="H24" s="32" t="inlineStr">
        <is>
          <t>Helium 10 Xray, 2026-10-13</t>
        </is>
      </c>
      <c r="I24" s="33" t="n"/>
      <c r="J24" s="32" t="n"/>
      <c r="K24" s="33" t="n"/>
      <c r="L24" s="62" t="n"/>
      <c r="M24" s="63" t="n">
        <v>28</v>
      </c>
      <c r="N24" s="32" t="inlineStr">
        <is>
          <t>Active</t>
        </is>
      </c>
      <c r="O24" s="32" t="inlineStr">
        <is>
          <t>Yes (8%)</t>
        </is>
      </c>
      <c r="P24" s="64" t="n">
        <v>4.7</v>
      </c>
      <c r="Q24" s="63" t="n">
        <v>238</v>
      </c>
      <c r="R24" s="63" t="n">
        <v>22333</v>
      </c>
      <c r="S24" s="63"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59" t="n">
        <v>20.99</v>
      </c>
      <c r="H25" s="32" t="inlineStr">
        <is>
          <t>Helium 10 Xray, 2026-10-13</t>
        </is>
      </c>
      <c r="I25" s="33" t="n"/>
      <c r="J25" s="32" t="n"/>
      <c r="K25" s="33" t="n"/>
      <c r="L25" s="62" t="n"/>
      <c r="M25" s="63" t="n">
        <v>20</v>
      </c>
      <c r="N25" s="32" t="inlineStr">
        <is>
          <t>Active</t>
        </is>
      </c>
      <c r="O25" s="32" t="inlineStr">
        <is>
          <t>Yes (10%)</t>
        </is>
      </c>
      <c r="P25" s="64" t="n">
        <v>4.7</v>
      </c>
      <c r="Q25" s="63" t="n">
        <v>238</v>
      </c>
      <c r="R25" s="63" t="n">
        <v>22333</v>
      </c>
      <c r="S25" s="63"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59" t="n">
        <v>19.99</v>
      </c>
      <c r="H26" s="32" t="inlineStr">
        <is>
          <t>Helium 10 Xray, 2026-10-13</t>
        </is>
      </c>
      <c r="I26" s="33" t="n"/>
      <c r="J26" s="32" t="n"/>
      <c r="K26" s="33" t="n"/>
      <c r="L26" s="62" t="n"/>
      <c r="M26" s="63" t="n">
        <v>20</v>
      </c>
      <c r="N26" s="32" t="inlineStr">
        <is>
          <t>Active</t>
        </is>
      </c>
      <c r="O26" s="32" t="n"/>
      <c r="P26" s="64" t="n">
        <v>4.7</v>
      </c>
      <c r="Q26" s="63" t="n">
        <v>238</v>
      </c>
      <c r="R26" s="63" t="n">
        <v>22338</v>
      </c>
      <c r="S26" s="63"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59" t="n">
        <v>20.99</v>
      </c>
      <c r="H27" s="32" t="inlineStr">
        <is>
          <t>Helium 10 Xray, 2026-10-13</t>
        </is>
      </c>
      <c r="I27" s="33" t="n"/>
      <c r="J27" s="32" t="n"/>
      <c r="K27" s="33" t="n"/>
      <c r="L27" s="62" t="n"/>
      <c r="M27" s="63" t="n">
        <v>14</v>
      </c>
      <c r="N27" s="32" t="inlineStr">
        <is>
          <t>Active</t>
        </is>
      </c>
      <c r="O27" s="32" t="n"/>
      <c r="P27" s="64" t="n">
        <v>4.7</v>
      </c>
      <c r="Q27" s="63" t="n">
        <v>238</v>
      </c>
      <c r="R27" s="63" t="n">
        <v>22338</v>
      </c>
      <c r="S27" s="63"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59" t="n">
        <v>20.99</v>
      </c>
      <c r="H28" s="32" t="inlineStr">
        <is>
          <t>Helium 10 Xray, 2026-10-13</t>
        </is>
      </c>
      <c r="I28" s="33" t="n"/>
      <c r="J28" s="32" t="n"/>
      <c r="K28" s="33" t="n"/>
      <c r="L28" s="62" t="n"/>
      <c r="M28" s="63" t="n">
        <v>12</v>
      </c>
      <c r="N28" s="32" t="inlineStr">
        <is>
          <t>Active</t>
        </is>
      </c>
      <c r="O28" s="32" t="n"/>
      <c r="P28" s="64" t="n">
        <v>4.7</v>
      </c>
      <c r="Q28" s="63" t="n">
        <v>238</v>
      </c>
      <c r="R28" s="63" t="n">
        <v>22338</v>
      </c>
      <c r="S28" s="63"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59" t="n">
        <v>17.99</v>
      </c>
      <c r="H29" s="32" t="inlineStr">
        <is>
          <t>Helium 10 Xray, 2026-10-13</t>
        </is>
      </c>
      <c r="I29" s="33" t="n"/>
      <c r="J29" s="32" t="n"/>
      <c r="K29" s="33" t="n"/>
      <c r="L29" s="62" t="n"/>
      <c r="M29" s="63" t="n">
        <v>12</v>
      </c>
      <c r="N29" s="32" t="inlineStr">
        <is>
          <t>Active</t>
        </is>
      </c>
      <c r="O29" s="32" t="n"/>
      <c r="P29" s="64" t="n">
        <v>4.7</v>
      </c>
      <c r="Q29" s="63" t="n">
        <v>238</v>
      </c>
      <c r="R29" s="63" t="n">
        <v>22338</v>
      </c>
      <c r="S29" s="63" t="n">
        <v>49</v>
      </c>
      <c r="T29" s="32" t="n"/>
    </row>
    <row r="31" ht="20" customHeight="1">
      <c r="A31" s="53" t="inlineStr">
        <is>
          <t>3 · OUR BFCM 2025 RESULT &amp; EVENT VISIBILITY</t>
        </is>
      </c>
    </row>
    <row r="32">
      <c r="A32" s="66" t="inlineStr">
        <is>
          <t>Window</t>
        </is>
      </c>
      <c r="B32" s="67" t="n"/>
      <c r="C32" s="68" t="n"/>
      <c r="D32" s="66" t="inlineStr">
        <is>
          <t>Ad spend</t>
        </is>
      </c>
      <c r="E32" s="66" t="inlineStr">
        <is>
          <t>Ad sales</t>
        </is>
      </c>
      <c r="F32" s="66" t="inlineStr">
        <is>
          <t>ACoS</t>
        </is>
      </c>
      <c r="G32" s="66" t="inlineStr">
        <is>
          <t>TACoS</t>
        </is>
      </c>
      <c r="H32" s="66" t="inlineStr">
        <is>
          <t>Total sales (derived)</t>
        </is>
      </c>
      <c r="J32" s="66" t="inlineStr">
        <is>
          <t>Ad orders</t>
        </is>
      </c>
      <c r="K32" s="66" t="inlineStr">
        <is>
          <t>CVR</t>
        </is>
      </c>
    </row>
    <row r="33">
      <c r="A33" s="69" t="inlineStr">
        <is>
          <t>Pre-event Oct 21 - Nov 19, 2025 (30d)</t>
        </is>
      </c>
      <c r="B33" s="67" t="n"/>
      <c r="C33" s="68" t="n"/>
      <c r="D33" s="70" t="n"/>
      <c r="E33" s="70" t="n"/>
      <c r="F33" s="71" t="n"/>
      <c r="G33" s="71" t="n"/>
      <c r="H33" s="70" t="n"/>
      <c r="J33" s="72" t="n"/>
      <c r="K33" s="73" t="n"/>
    </row>
    <row r="34">
      <c r="A34" s="69" t="inlineStr">
        <is>
          <t>BFCM week Nov 20 - Dec 1, 2025 (12d)</t>
        </is>
      </c>
      <c r="B34" s="67" t="n"/>
      <c r="C34" s="68" t="n"/>
      <c r="D34" s="70" t="n"/>
      <c r="E34" s="70" t="n"/>
      <c r="F34" s="71" t="n"/>
      <c r="G34" s="71" t="n"/>
      <c r="H34" s="70" t="n"/>
      <c r="J34" s="72" t="n"/>
      <c r="K34" s="73" t="n"/>
    </row>
    <row r="35">
      <c r="A35" s="69" t="inlineStr">
        <is>
          <t>December 2 - 31, 2025 (30d)</t>
        </is>
      </c>
      <c r="B35" s="67" t="n"/>
      <c r="C35" s="68" t="n"/>
      <c r="D35" s="70" t="n"/>
      <c r="E35" s="70" t="n"/>
      <c r="F35" s="71" t="n"/>
      <c r="G35" s="71" t="n"/>
      <c r="H35" s="70" t="n"/>
      <c r="J35" s="72" t="n"/>
      <c r="K35" s="73" t="n"/>
    </row>
    <row r="36" ht="18" customHeight="1">
      <c r="A36" s="110" t="inlineStr">
        <is>
          <t>BFCM 2026 plan (BM, Oct 15, 2026): NOT IN A DEAL. BM confirmed that products without a planned deal are not in any BFCM 2026 deal; they sell at their regular price.</t>
        </is>
      </c>
    </row>
    <row r="37">
      <c r="A37" s="58" t="inlineStr">
        <is>
          <t>Command Center visibility for our best child B0H5WWMPNN: organic score None before BFCM 2025 → None in BFCM week; Prime Day 2026 0.0 → 0.0; Aug-Sep 2026 0.1.</t>
        </is>
      </c>
    </row>
    <row r="39" ht="20" customHeight="1">
      <c r="A39" s="53" t="inlineStr">
        <is>
          <t>4 · COMPETITOR LANDSCAPE (15 mapped)</t>
        </is>
      </c>
    </row>
    <row r="40">
      <c r="A40" s="58"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3"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Cooling Pillowcases  ·  Amazon.com (US)  ·  Cooling  ·  BFCM role: Off-season  ·  Scope: Core</t>
        </is>
      </c>
    </row>
    <row r="2">
      <c r="A2" s="52" t="inlineStr">
        <is>
          <t>← Dashboard</t>
        </is>
      </c>
    </row>
    <row r="3" ht="20" customHeight="1">
      <c r="A3" s="53"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4" t="inlineStr">
        <is>
          <t>King, Queen, Standard</t>
        </is>
      </c>
      <c r="S4" s="11" t="inlineStr">
        <is>
          <t>Break-even ACoS</t>
        </is>
      </c>
      <c r="T4" s="54" t="inlineStr">
        <is>
          <t>33%</t>
        </is>
      </c>
    </row>
    <row r="5" ht="22" customHeight="1">
      <c r="C5" s="11" t="inlineStr">
        <is>
          <t>Brand</t>
        </is>
      </c>
      <c r="D5" s="54" t="inlineStr">
        <is>
          <t>Sleephoria</t>
        </is>
      </c>
      <c r="K5" s="11" t="inlineStr">
        <is>
          <t>Colours</t>
        </is>
      </c>
      <c r="L5" s="54" t="inlineStr">
        <is>
          <t>Blue, Dark Grey, Light Grey, White</t>
        </is>
      </c>
      <c r="S5" s="11" t="inlineStr">
        <is>
          <t>Units last 28 days</t>
        </is>
      </c>
      <c r="T5" s="54" t="inlineStr">
        <is>
          <t>54</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B0F7LLMXSR (one of our child ASINs, not the Amazon parent)</t>
        </is>
      </c>
    </row>
    <row r="7" ht="22" customHeight="1">
      <c r="C7" s="11" t="inlineStr">
        <is>
          <t>Parent ASIN (Amazon)</t>
        </is>
      </c>
      <c r="D7" s="54" t="inlineStr">
        <is>
          <t>B0FTSVDG77</t>
        </is>
      </c>
      <c r="K7" s="11" t="inlineStr">
        <is>
          <t>Rating / reviews now</t>
        </is>
      </c>
      <c r="L7" s="54" t="inlineStr">
        <is>
          <t>Not checked yet</t>
        </is>
      </c>
    </row>
    <row r="8" ht="22" customHeight="1">
      <c r="C8" s="11" t="inlineStr">
        <is>
          <t>Best-selling child ASIN</t>
        </is>
      </c>
      <c r="D8" s="54" t="inlineStr">
        <is>
          <t>B0F7LJS3N2</t>
        </is>
      </c>
      <c r="K8" s="11" t="inlineStr">
        <is>
          <t>Live prices held</t>
        </is>
      </c>
      <c r="L8" s="54" t="inlineStr">
        <is>
          <t>3 of 12 variations</t>
        </is>
      </c>
    </row>
    <row r="9" ht="22" customHeight="1">
      <c r="C9" s="11" t="inlineStr">
        <is>
          <t>Stage</t>
        </is>
      </c>
      <c r="D9" s="54" t="inlineStr">
        <is>
          <t>Re-Launch</t>
        </is>
      </c>
      <c r="K9" s="11" t="inlineStr">
        <is>
          <t>Blended price (Command Center)</t>
        </is>
      </c>
      <c r="L9" s="54" t="inlineStr">
        <is>
          <t>$20.88 - fee feed as of 2026-03-30, STALE</t>
        </is>
      </c>
    </row>
    <row r="10">
      <c r="C10" s="11" t="inlineStr">
        <is>
          <t>Total variations (SKUs)</t>
        </is>
      </c>
      <c r="D10" s="54" t="n">
        <v>12</v>
      </c>
      <c r="K10" s="11" t="inlineStr">
        <is>
          <t>Contribution / unit</t>
        </is>
      </c>
      <c r="L10" s="54" t="inlineStr">
        <is>
          <t>$6.88</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0.77x</t>
        </is>
      </c>
      <c r="E12" s="56" t="inlineStr">
        <is>
          <t>n/a</t>
        </is>
      </c>
      <c r="I12" s="56" t="inlineStr">
        <is>
          <t>0.64x</t>
        </is>
      </c>
      <c r="M12" s="56" t="inlineStr">
        <is>
          <t>21</t>
        </is>
      </c>
      <c r="Q12" s="56" t="inlineStr">
        <is>
          <t>16</t>
        </is>
      </c>
      <c r="U12" s="56" t="inlineStr">
        <is>
          <t>0</t>
        </is>
      </c>
    </row>
    <row r="13">
      <c r="A13" s="57" t="inlineStr">
        <is>
          <t>daily sales, BFCM wk vs 30 days before (SellerBoard actual)</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(12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59" t="n">
        <v>23.99</v>
      </c>
      <c r="H18" s="32" t="inlineStr">
        <is>
          <t>Helium 10 Xray, 2026-10-13</t>
        </is>
      </c>
      <c r="I18" s="60" t="n">
        <v>19.99</v>
      </c>
      <c r="J18" s="61" t="inlineStr">
        <is>
          <t>2026-03-30</t>
        </is>
      </c>
      <c r="K18" s="33" t="n">
        <v>6.719999999999998</v>
      </c>
      <c r="L18" s="62" t="n">
        <v>0.3361680840420209</v>
      </c>
      <c r="M18" s="63" t="n">
        <v>18</v>
      </c>
      <c r="N18" s="32" t="inlineStr">
        <is>
          <t>Active</t>
        </is>
      </c>
      <c r="O18" s="32" t="inlineStr">
        <is>
          <t>Yes (42%)</t>
        </is>
      </c>
      <c r="P18" s="64" t="n">
        <v>4.5</v>
      </c>
      <c r="Q18" s="63" t="n">
        <v>491</v>
      </c>
      <c r="R18" s="63" t="n">
        <v>521501</v>
      </c>
      <c r="S18" s="63"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59" t="n">
        <v>21.99</v>
      </c>
      <c r="H19" s="32" t="inlineStr">
        <is>
          <t>Helium 10 Xray, 2026-10-13</t>
        </is>
      </c>
      <c r="I19" s="60" t="n">
        <v>24.99</v>
      </c>
      <c r="J19" s="61" t="inlineStr">
        <is>
          <t>2026-03-30</t>
        </is>
      </c>
      <c r="K19" s="33" t="n">
        <v>10.74</v>
      </c>
      <c r="L19" s="62" t="n">
        <v>0.4297719087635054</v>
      </c>
      <c r="M19" s="63" t="n">
        <v>16</v>
      </c>
      <c r="N19" s="32" t="inlineStr">
        <is>
          <t>Active</t>
        </is>
      </c>
      <c r="O19" s="32" t="n"/>
      <c r="P19" s="64" t="n">
        <v>4.5</v>
      </c>
      <c r="Q19" s="63" t="n">
        <v>491</v>
      </c>
      <c r="R19" s="63" t="n">
        <v>521501</v>
      </c>
      <c r="S19" s="63"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0" t="n">
        <v>17.99</v>
      </c>
      <c r="J20" s="61" t="inlineStr">
        <is>
          <t>2026-03-30</t>
        </is>
      </c>
      <c r="K20" s="33" t="n">
        <v>3.289999999999999</v>
      </c>
      <c r="L20" s="62" t="n">
        <v>0.1828793774319066</v>
      </c>
      <c r="M20" s="63" t="n">
        <v>12</v>
      </c>
      <c r="N20" s="32" t="inlineStr">
        <is>
          <t>Active</t>
        </is>
      </c>
      <c r="O20" s="32" t="n"/>
      <c r="P20" s="64" t="n"/>
      <c r="Q20" s="63" t="n"/>
      <c r="R20" s="63" t="n"/>
      <c r="S20" s="63"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59" t="n">
        <v>23.99</v>
      </c>
      <c r="H21" s="32" t="inlineStr">
        <is>
          <t>Helium 10 Xray, 2026-10-13</t>
        </is>
      </c>
      <c r="I21" s="60" t="n">
        <v>19.99</v>
      </c>
      <c r="J21" s="61" t="inlineStr">
        <is>
          <t>2026-03-30</t>
        </is>
      </c>
      <c r="K21" s="33" t="n">
        <v>5.529999999999998</v>
      </c>
      <c r="L21" s="62" t="n">
        <v>0.2766383191595798</v>
      </c>
      <c r="M21" s="63" t="n">
        <v>4</v>
      </c>
      <c r="N21" s="32" t="inlineStr">
        <is>
          <t>Active</t>
        </is>
      </c>
      <c r="O21" s="32" t="inlineStr">
        <is>
          <t>Yes (40%)</t>
        </is>
      </c>
      <c r="P21" s="64" t="n">
        <v>4.5</v>
      </c>
      <c r="Q21" s="63" t="n">
        <v>491</v>
      </c>
      <c r="R21" s="63" t="n">
        <v>521501</v>
      </c>
      <c r="S21" s="63"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0" t="n">
        <v>16.99</v>
      </c>
      <c r="J22" s="61" t="inlineStr">
        <is>
          <t>2026-03-30</t>
        </is>
      </c>
      <c r="K22" s="33" t="n">
        <v>3.309999999999998</v>
      </c>
      <c r="L22" s="62" t="n">
        <v>0.1948204826368451</v>
      </c>
      <c r="M22" s="63" t="n">
        <v>2</v>
      </c>
      <c r="N22" s="32" t="inlineStr">
        <is>
          <t>Inactive</t>
        </is>
      </c>
      <c r="O22" s="32" t="n"/>
      <c r="P22" s="64" t="n"/>
      <c r="Q22" s="63" t="n"/>
      <c r="R22" s="63" t="n"/>
      <c r="S22" s="63"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0" t="n">
        <v>19.95</v>
      </c>
      <c r="J23" s="61" t="inlineStr">
        <is>
          <t>2026-03-30</t>
        </is>
      </c>
      <c r="K23" s="33" t="n">
        <v>5.500000000000001</v>
      </c>
      <c r="L23" s="62" t="n">
        <v>0.2756892230576442</v>
      </c>
      <c r="M23" s="63" t="n">
        <v>1</v>
      </c>
      <c r="N23" s="32" t="inlineStr">
        <is>
          <t>Inactive</t>
        </is>
      </c>
      <c r="O23" s="32" t="n"/>
      <c r="P23" s="64" t="n"/>
      <c r="Q23" s="63" t="n"/>
      <c r="R23" s="63" t="n"/>
      <c r="S23" s="63"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0" t="n">
        <v>17.99</v>
      </c>
      <c r="J24" s="61" t="inlineStr">
        <is>
          <t>2026-03-30</t>
        </is>
      </c>
      <c r="K24" s="33" t="n">
        <v>4.789999999999999</v>
      </c>
      <c r="L24" s="62" t="n">
        <v>0.2662590327959978</v>
      </c>
      <c r="M24" s="63" t="n">
        <v>1</v>
      </c>
      <c r="N24" s="32" t="inlineStr">
        <is>
          <t>Inactive</t>
        </is>
      </c>
      <c r="O24" s="32" t="n"/>
      <c r="P24" s="64" t="n"/>
      <c r="Q24" s="63" t="n"/>
      <c r="R24" s="63" t="n"/>
      <c r="S24" s="63"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0" t="n">
        <v>19.99</v>
      </c>
      <c r="J25" s="61" t="inlineStr">
        <is>
          <t>2026-03-30</t>
        </is>
      </c>
      <c r="K25" s="33" t="n">
        <v>6.719999999999998</v>
      </c>
      <c r="L25" s="62" t="n">
        <v>0.3361680840420209</v>
      </c>
      <c r="M25" s="63" t="n"/>
      <c r="N25" s="32" t="inlineStr">
        <is>
          <t>Inactive</t>
        </is>
      </c>
      <c r="O25" s="32" t="n"/>
      <c r="P25" s="64" t="n"/>
      <c r="Q25" s="63" t="n"/>
      <c r="R25" s="63" t="n"/>
      <c r="S25" s="63"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0" t="n">
        <v>17.99</v>
      </c>
      <c r="J26" s="61" t="inlineStr">
        <is>
          <t>2026-03-30</t>
        </is>
      </c>
      <c r="K26" s="33" t="n">
        <v>3.27</v>
      </c>
      <c r="L26" s="62" t="n">
        <v>0.1817676486937187</v>
      </c>
      <c r="M26" s="63" t="n"/>
      <c r="N26" s="32" t="inlineStr">
        <is>
          <t>Inactive</t>
        </is>
      </c>
      <c r="O26" s="32" t="n"/>
      <c r="P26" s="64" t="n"/>
      <c r="Q26" s="63" t="n"/>
      <c r="R26" s="63" t="n"/>
      <c r="S26" s="63"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0" t="n">
        <v>23.99</v>
      </c>
      <c r="J27" s="61" t="inlineStr">
        <is>
          <t>2026-03-26</t>
        </is>
      </c>
      <c r="K27" s="33" t="n">
        <v>7.809999999999997</v>
      </c>
      <c r="L27" s="62" t="n">
        <v>0.3255523134639432</v>
      </c>
      <c r="M27" s="63" t="n"/>
      <c r="N27" s="32" t="inlineStr">
        <is>
          <t>Inactive</t>
        </is>
      </c>
      <c r="O27" s="32" t="n"/>
      <c r="P27" s="64" t="n"/>
      <c r="Q27" s="63" t="n"/>
      <c r="R27" s="63" t="n"/>
      <c r="S27" s="63"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0" t="n">
        <v>16.99</v>
      </c>
      <c r="J28" s="61" t="inlineStr">
        <is>
          <t>2026-03-30</t>
        </is>
      </c>
      <c r="K28" s="33" t="n">
        <v>2.639999999999998</v>
      </c>
      <c r="L28" s="62" t="n">
        <v>0.1553855208946438</v>
      </c>
      <c r="M28" s="63" t="n"/>
      <c r="N28" s="32" t="inlineStr">
        <is>
          <t>Inactive</t>
        </is>
      </c>
      <c r="O28" s="32" t="n"/>
      <c r="P28" s="64" t="n"/>
      <c r="Q28" s="63" t="n"/>
      <c r="R28" s="63" t="n"/>
      <c r="S28" s="63"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0" t="n">
        <v>23.99</v>
      </c>
      <c r="J29" s="61" t="inlineStr">
        <is>
          <t>2026-03-30</t>
        </is>
      </c>
      <c r="K29" s="33" t="n">
        <v>8.539999999999997</v>
      </c>
      <c r="L29" s="62" t="n">
        <v>0.3559816590245935</v>
      </c>
      <c r="M29" s="63" t="n"/>
      <c r="N29" s="32" t="inlineStr">
        <is>
          <t>Inactive</t>
        </is>
      </c>
      <c r="O29" s="32" t="n"/>
      <c r="P29" s="64" t="n"/>
      <c r="Q29" s="63" t="n"/>
      <c r="R29" s="63" t="n"/>
      <c r="S29" s="63" t="n"/>
      <c r="T29" s="32" t="n"/>
    </row>
    <row r="31" ht="20" customHeight="1">
      <c r="A31" s="53" t="inlineStr">
        <is>
          <t>3 · OUR BFCM 2025 RESULT &amp; EVENT VISIBILITY</t>
        </is>
      </c>
    </row>
    <row r="32">
      <c r="A32" s="66" t="inlineStr">
        <is>
          <t>Window</t>
        </is>
      </c>
      <c r="B32" s="67" t="n"/>
      <c r="C32" s="68" t="n"/>
      <c r="D32" s="66" t="inlineStr">
        <is>
          <t>Ad spend</t>
        </is>
      </c>
      <c r="E32" s="66" t="inlineStr">
        <is>
          <t>Ad sales</t>
        </is>
      </c>
      <c r="F32" s="66" t="inlineStr">
        <is>
          <t>ACoS</t>
        </is>
      </c>
      <c r="G32" s="66" t="inlineStr">
        <is>
          <t>TACoS</t>
        </is>
      </c>
      <c r="H32" s="66" t="inlineStr">
        <is>
          <t>Total sales (derived)</t>
        </is>
      </c>
      <c r="J32" s="66" t="inlineStr">
        <is>
          <t>Ad orders</t>
        </is>
      </c>
      <c r="K32" s="66" t="inlineStr">
        <is>
          <t>CVR</t>
        </is>
      </c>
    </row>
    <row r="33">
      <c r="A33" s="69" t="inlineStr">
        <is>
          <t>Pre-event Oct 21 - Nov 19, 2025 (30d)</t>
        </is>
      </c>
      <c r="B33" s="67" t="n"/>
      <c r="C33" s="68" t="n"/>
      <c r="D33" s="70" t="n"/>
      <c r="E33" s="70" t="n"/>
      <c r="F33" s="71" t="n"/>
      <c r="G33" s="71" t="n"/>
      <c r="H33" s="70" t="n"/>
      <c r="J33" s="72" t="n"/>
      <c r="K33" s="73" t="n"/>
    </row>
    <row r="34">
      <c r="A34" s="69" t="inlineStr">
        <is>
          <t>BFCM week Nov 20 - Dec 1, 2025 (12d)</t>
        </is>
      </c>
      <c r="B34" s="67" t="n"/>
      <c r="C34" s="68" t="n"/>
      <c r="D34" s="70" t="n"/>
      <c r="E34" s="70" t="n"/>
      <c r="F34" s="71" t="n"/>
      <c r="G34" s="71" t="n"/>
      <c r="H34" s="70" t="n"/>
      <c r="J34" s="72" t="n"/>
      <c r="K34" s="73" t="n"/>
    </row>
    <row r="35">
      <c r="A35" s="69" t="inlineStr">
        <is>
          <t>December 2 - 31, 2025 (30d)</t>
        </is>
      </c>
      <c r="B35" s="67" t="n"/>
      <c r="C35" s="68" t="n"/>
      <c r="D35" s="70" t="n"/>
      <c r="E35" s="70" t="n"/>
      <c r="F35" s="71" t="n"/>
      <c r="G35" s="71" t="n"/>
      <c r="H35" s="70" t="n"/>
      <c r="J35" s="72" t="n"/>
      <c r="K35" s="73" t="n"/>
    </row>
    <row r="37">
      <c r="A37" s="66" t="inlineStr">
        <is>
          <t>Actual sales (SellerBoard)</t>
        </is>
      </c>
      <c r="B37" s="67" t="n"/>
      <c r="C37" s="68" t="n"/>
      <c r="D37" s="66" t="inlineStr">
        <is>
          <t>Sales</t>
        </is>
      </c>
      <c r="E37" s="66" t="inlineStr">
        <is>
          <t>Units</t>
        </is>
      </c>
      <c r="F37" s="66" t="inlineStr">
        <is>
          <t>Organic units</t>
        </is>
      </c>
      <c r="G37" s="66" t="inlineStr">
        <is>
          <t>Ad units</t>
        </is>
      </c>
      <c r="H37" s="66" t="inlineStr">
        <is>
          <t>Ad cost</t>
        </is>
      </c>
      <c r="J37" s="66" t="inlineStr">
        <is>
          <t>TACoS (actual)</t>
        </is>
      </c>
      <c r="K37" s="66" t="inlineStr">
        <is>
          <t>Sessions</t>
        </is>
      </c>
      <c r="L37" s="66" t="inlineStr">
        <is>
          <t>Unit session %</t>
        </is>
      </c>
      <c r="M37" s="66" t="inlineStr">
        <is>
          <t>Avg price</t>
        </is>
      </c>
      <c r="N37" s="66" t="inlineStr">
        <is>
          <t>Refunds</t>
        </is>
      </c>
    </row>
    <row r="38">
      <c r="A38" s="69" t="inlineStr">
        <is>
          <t>Pre-event Oct 21 - Nov 19, 2025 (30d)</t>
        </is>
      </c>
      <c r="B38" s="67" t="n"/>
      <c r="C38" s="68" t="n"/>
      <c r="D38" s="70" t="n">
        <v>9910.98</v>
      </c>
      <c r="E38" s="72" t="n">
        <v>606</v>
      </c>
      <c r="F38" s="72" t="n">
        <v>474</v>
      </c>
      <c r="G38" s="72" t="n">
        <v>132</v>
      </c>
      <c r="H38" s="70" t="n">
        <v>4509.02</v>
      </c>
      <c r="J38" s="74" t="n">
        <v>0.4549519825486481</v>
      </c>
      <c r="K38" s="72" t="n">
        <v>4670</v>
      </c>
      <c r="L38" s="74" t="n">
        <v>0.1297644539614561</v>
      </c>
      <c r="M38" s="75" t="n">
        <v>16.35475247524752</v>
      </c>
      <c r="N38" s="72" t="n">
        <v>27</v>
      </c>
    </row>
    <row r="39">
      <c r="A39" s="69" t="inlineStr">
        <is>
          <t>BFCM week Nov 20 - Dec 1, 2025 (12d)</t>
        </is>
      </c>
      <c r="B39" s="67" t="n"/>
      <c r="C39" s="68" t="n"/>
      <c r="D39" s="70" t="n">
        <v>3042.11</v>
      </c>
      <c r="E39" s="72" t="n">
        <v>191</v>
      </c>
      <c r="F39" s="72" t="n">
        <v>148</v>
      </c>
      <c r="G39" s="72" t="n">
        <v>43</v>
      </c>
      <c r="H39" s="70" t="n">
        <v>1304.91</v>
      </c>
      <c r="J39" s="74" t="n">
        <v>0.4289489860655926</v>
      </c>
      <c r="K39" s="72" t="n">
        <v>1534</v>
      </c>
      <c r="L39" s="74" t="n">
        <v>0.1245110821382008</v>
      </c>
      <c r="M39" s="75" t="n">
        <v>15.927277486911</v>
      </c>
      <c r="N39" s="72" t="n">
        <v>12</v>
      </c>
    </row>
    <row r="40">
      <c r="A40" s="69" t="inlineStr">
        <is>
          <t>December 2 - 31, 2025 (30d)</t>
        </is>
      </c>
      <c r="B40" s="67" t="n"/>
      <c r="C40" s="68" t="n"/>
      <c r="D40" s="70" t="n">
        <v>6361.99</v>
      </c>
      <c r="E40" s="72" t="n">
        <v>402</v>
      </c>
      <c r="F40" s="72" t="n">
        <v>315</v>
      </c>
      <c r="G40" s="72" t="n">
        <v>87</v>
      </c>
      <c r="H40" s="70" t="n">
        <v>2147.29</v>
      </c>
      <c r="J40" s="74" t="n">
        <v>0.3375186065995074</v>
      </c>
      <c r="K40" s="72" t="n">
        <v>3313</v>
      </c>
      <c r="L40" s="74" t="n">
        <v>0.1213401750679143</v>
      </c>
      <c r="M40" s="75" t="n">
        <v>15.82584577114428</v>
      </c>
      <c r="N40" s="72" t="n">
        <v>24</v>
      </c>
    </row>
    <row r="41">
      <c r="A41" s="58" t="inlineStr">
        <is>
          <t>SellerBoard, Ecotero account, Amazon parent B0FTSVDG77 plus any of this product's child ASINs SellerBoard lists on their own, UTC days. Lift above uses these actual sales.</t>
        </is>
      </c>
    </row>
    <row r="42" ht="18" customHeight="1">
      <c r="A42" s="77" t="inlineStr">
        <is>
          <t>BFCM 2026 plan (BM, Oct 15, 2026): Best Deal 11/19-11/30. Deal price and depth not yet given; not yet visible in Amazon's deal feed.</t>
        </is>
      </c>
    </row>
    <row r="43" ht="18" customHeight="1">
      <c r="A43" s="79" t="inlineStr">
        <is>
          <t>ASSUMED 2026 deal prices, until BM's final: B0F7LM5KWC today $23.99; $20.39 at 15% off (Nov 19-26) and $19.19 at 20% off (Nov 27-30 (Black Friday to Cyber Monday)). Rule: Umair Tahir via Shayan Rana, Oct 15, 2026. Evidence: our BFCM 2025 deal on B0F7LJS3N2 (US, Keepa): $15.99 before, $15.99 during, 0% off; US competitors' median price cut in BFCM 2025: 29% (2 rivals). Amazon may use a lower reference price than today's (it sets it the day before the deal), which would lower the deal price.</t>
        </is>
      </c>
    </row>
    <row r="44" ht="30" customHeight="1">
      <c r="A44" s="76"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8" t="inlineStr">
        <is>
          <t>No Command Center visibility history for our best child ASIN.</t>
        </is>
      </c>
    </row>
    <row r="46">
      <c r="A46" s="111" t="inlineStr">
        <is>
          <t>No BFCM 2025 PPC data for this product (not advertised or launched after BFCM 2025).</t>
        </is>
      </c>
    </row>
    <row r="48" ht="20" customHeight="1">
      <c r="A48" s="53" t="inlineStr">
        <is>
          <t>4 · COMPETITOR LANDSCAPE (21 mapped)</t>
        </is>
      </c>
    </row>
    <row r="49">
      <c r="A49" s="58"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16.99</v>
      </c>
      <c r="P58" s="92">
        <f>IF(AND(ISNUMBER(K58),ISNUMBER(O58),N(O58)&gt;0),K58/O58-1,"")</f>
        <v/>
      </c>
      <c r="Q58" s="32" t="inlineStr">
        <is>
          <t>Same size (Standard). Ours: Command Center fee feed, Mar 2026 - STALE</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1 child</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2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1 child</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2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1 child</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1 child</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16.99</v>
      </c>
      <c r="P69" s="92">
        <f>IF(AND(ISNUMBER(K69),ISNUMBER(O69),N(O69)&gt;0),K69/O69-1,"")</f>
        <v/>
      </c>
      <c r="Q69" s="32" t="inlineStr">
        <is>
          <t>Same size (Standard). Ours: Command Center fee feed, Mar 2026 - STALE</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16.99</v>
      </c>
      <c r="P70" s="92">
        <f>IF(AND(ISNUMBER(K70),ISNUMBER(O70),N(O70)&gt;0),K70/O70-1,"")</f>
        <v/>
      </c>
      <c r="Q70" s="32" t="inlineStr">
        <is>
          <t>Same size (Standard). Ours: Command Center fee feed, Mar 2026 - STALE</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3"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Cooling Comforter  ·  Amazon.com (US)  ·  Cooling  ·  BFCM role: Off-season (lost $2.4K at BFCM 2025)  ·  Scope: Core</t>
        </is>
      </c>
    </row>
    <row r="2">
      <c r="A2" s="52" t="inlineStr">
        <is>
          <t>← Dashboard</t>
        </is>
      </c>
    </row>
    <row r="3" ht="20" customHeight="1">
      <c r="A3" s="53"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4" t="inlineStr">
        <is>
          <t>Full, King, Queen, Twin</t>
        </is>
      </c>
      <c r="S4" s="11" t="inlineStr">
        <is>
          <t>Break-even ACoS</t>
        </is>
      </c>
      <c r="T4" s="54" t="inlineStr">
        <is>
          <t>22%</t>
        </is>
      </c>
    </row>
    <row r="5" ht="22" customHeight="1">
      <c r="C5" s="11" t="inlineStr">
        <is>
          <t>Brand</t>
        </is>
      </c>
      <c r="D5" s="54" t="inlineStr">
        <is>
          <t>Sleephoria</t>
        </is>
      </c>
      <c r="K5" s="11" t="inlineStr">
        <is>
          <t>Colours</t>
        </is>
      </c>
      <c r="L5" s="54" t="inlineStr">
        <is>
          <t>Blue &amp; Dark Grey, Blue &amp; Light Grey, Light Grey &amp; Dark Grey, Mint Green &amp; Dark Grey, Pink &amp; Beige</t>
        </is>
      </c>
      <c r="S5" s="11" t="inlineStr">
        <is>
          <t>Units last 28 days</t>
        </is>
      </c>
      <c r="T5" s="54" t="inlineStr">
        <is>
          <t>78</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B0GHSH1BJK (one of our child ASINs, not the Amazon parent)</t>
        </is>
      </c>
    </row>
    <row r="7" ht="22" customHeight="1">
      <c r="C7" s="11" t="inlineStr">
        <is>
          <t>Parent ASIN (Amazon)</t>
        </is>
      </c>
      <c r="D7" s="54" t="inlineStr">
        <is>
          <t>B0FTG1NNKG</t>
        </is>
      </c>
      <c r="K7" s="11" t="inlineStr">
        <is>
          <t>Rating / reviews now</t>
        </is>
      </c>
      <c r="L7" s="54" t="inlineStr">
        <is>
          <t>Not checked yet</t>
        </is>
      </c>
    </row>
    <row r="8" ht="22" customHeight="1">
      <c r="C8" s="11" t="inlineStr">
        <is>
          <t>Best-selling child ASIN</t>
        </is>
      </c>
      <c r="D8" s="54" t="inlineStr">
        <is>
          <t>B0F7M4Q2HQ</t>
        </is>
      </c>
      <c r="K8" s="11" t="inlineStr">
        <is>
          <t>Live prices held</t>
        </is>
      </c>
      <c r="L8" s="54" t="inlineStr">
        <is>
          <t>14 of 20 variations</t>
        </is>
      </c>
    </row>
    <row r="9" ht="22" customHeight="1">
      <c r="C9" s="11" t="inlineStr">
        <is>
          <t>Stage</t>
        </is>
      </c>
      <c r="D9" s="54" t="inlineStr">
        <is>
          <t>Re-Launch</t>
        </is>
      </c>
      <c r="K9" s="11" t="inlineStr">
        <is>
          <t>Blended price (Command Center)</t>
        </is>
      </c>
      <c r="L9" s="54" t="inlineStr">
        <is>
          <t>$67.68 - fee feed as of 2026-03-30, STALE</t>
        </is>
      </c>
    </row>
    <row r="10">
      <c r="C10" s="11" t="inlineStr">
        <is>
          <t>Total variations (SKUs)</t>
        </is>
      </c>
      <c r="D10" s="54" t="n">
        <v>20</v>
      </c>
      <c r="K10" s="11" t="inlineStr">
        <is>
          <t>Contribution / unit</t>
        </is>
      </c>
      <c r="L10" s="54" t="inlineStr">
        <is>
          <t>$15.06</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3.39x</t>
        </is>
      </c>
      <c r="E12" s="56" t="inlineStr">
        <is>
          <t>12.3%</t>
        </is>
      </c>
      <c r="I12" s="56" t="inlineStr">
        <is>
          <t>4.21x</t>
        </is>
      </c>
      <c r="M12" s="56" t="inlineStr">
        <is>
          <t>18</t>
        </is>
      </c>
      <c r="Q12" s="56" t="inlineStr">
        <is>
          <t>16</t>
        </is>
      </c>
      <c r="U12" s="56" t="inlineStr">
        <is>
          <t>0</t>
        </is>
      </c>
    </row>
    <row r="13">
      <c r="A13" s="57" t="inlineStr">
        <is>
          <t>daily sales, BFCM wk vs 30 days before (SellerBoard actual)</t>
        </is>
      </c>
      <c r="E13" s="57" t="inlineStr">
        <is>
          <t>vs 27.0%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(20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0" t="n">
        <v>69.98999999999999</v>
      </c>
      <c r="J18" s="61" t="inlineStr">
        <is>
          <t>2026-03-18</t>
        </is>
      </c>
      <c r="K18" s="33" t="n">
        <v>13.29</v>
      </c>
      <c r="L18" s="62" t="n">
        <v>0.1898842691813116</v>
      </c>
      <c r="M18" s="63" t="n">
        <v>34</v>
      </c>
      <c r="N18" s="32" t="inlineStr">
        <is>
          <t>Active</t>
        </is>
      </c>
      <c r="O18" s="32" t="inlineStr">
        <is>
          <t>Yes (55%)</t>
        </is>
      </c>
      <c r="P18" s="64" t="n"/>
      <c r="Q18" s="63" t="n"/>
      <c r="R18" s="63" t="n"/>
      <c r="S18" s="63"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59" t="n">
        <v>69.98999999999999</v>
      </c>
      <c r="H19" s="32" t="inlineStr">
        <is>
          <t>Helium 10 Xray, 2026-10-13</t>
        </is>
      </c>
      <c r="I19" s="60" t="n">
        <v>74.98999999999999</v>
      </c>
      <c r="J19" s="61" t="inlineStr">
        <is>
          <t>2026-03-30</t>
        </is>
      </c>
      <c r="K19" s="33" t="n">
        <v>24.44999999999999</v>
      </c>
      <c r="L19" s="62" t="n">
        <v>0.326043472462995</v>
      </c>
      <c r="M19" s="63" t="n">
        <v>12</v>
      </c>
      <c r="N19" s="32" t="inlineStr">
        <is>
          <t>Active</t>
        </is>
      </c>
      <c r="O19" s="32" t="inlineStr">
        <is>
          <t>Yes (23%)</t>
        </is>
      </c>
      <c r="P19" s="64" t="n">
        <v>4.5</v>
      </c>
      <c r="Q19" s="63" t="n">
        <v>661</v>
      </c>
      <c r="R19" s="63" t="n">
        <v>372957</v>
      </c>
      <c r="S19" s="63"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59" t="n">
        <v>64.98999999999999</v>
      </c>
      <c r="H20" s="32" t="inlineStr">
        <is>
          <t>Helium 10 Xray, 2026-10-13</t>
        </is>
      </c>
      <c r="I20" s="33" t="n"/>
      <c r="J20" s="32" t="n"/>
      <c r="K20" s="33" t="n"/>
      <c r="L20" s="62" t="n"/>
      <c r="M20" s="63" t="n">
        <v>5</v>
      </c>
      <c r="N20" s="32" t="inlineStr">
        <is>
          <t>Active</t>
        </is>
      </c>
      <c r="O20" s="32" t="inlineStr">
        <is>
          <t>Yes (6%)</t>
        </is>
      </c>
      <c r="P20" s="64" t="n">
        <v>4.5</v>
      </c>
      <c r="Q20" s="63" t="n">
        <v>661</v>
      </c>
      <c r="R20" s="63" t="n">
        <v>372957</v>
      </c>
      <c r="S20" s="63"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59" t="n">
        <v>69.98999999999999</v>
      </c>
      <c r="H21" s="32" t="inlineStr">
        <is>
          <t>Helium 10 Xray, 2026-10-13</t>
        </is>
      </c>
      <c r="I21" s="60" t="n">
        <v>59.99</v>
      </c>
      <c r="J21" s="61" t="inlineStr">
        <is>
          <t>2026-03-12</t>
        </is>
      </c>
      <c r="K21" s="33" t="n">
        <v>11.71</v>
      </c>
      <c r="L21" s="62" t="n">
        <v>0.1951991998666445</v>
      </c>
      <c r="M21" s="63" t="n">
        <v>5</v>
      </c>
      <c r="N21" s="32" t="inlineStr">
        <is>
          <t>Active</t>
        </is>
      </c>
      <c r="O21" s="32" t="n"/>
      <c r="P21" s="64" t="n">
        <v>4.5</v>
      </c>
      <c r="Q21" s="63" t="n">
        <v>661</v>
      </c>
      <c r="R21" s="63" t="n">
        <v>372944</v>
      </c>
      <c r="S21" s="63"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59" t="n">
        <v>69.98999999999999</v>
      </c>
      <c r="H22" s="32" t="inlineStr">
        <is>
          <t>Helium 10 Xray, 2026-10-13</t>
        </is>
      </c>
      <c r="I22" s="60" t="n">
        <v>59.99</v>
      </c>
      <c r="J22" s="61" t="inlineStr">
        <is>
          <t>2026-03-30</t>
        </is>
      </c>
      <c r="K22" s="33" t="n">
        <v>11.7</v>
      </c>
      <c r="L22" s="62" t="n">
        <v>0.1950325054175696</v>
      </c>
      <c r="M22" s="63" t="n">
        <v>5</v>
      </c>
      <c r="N22" s="32" t="inlineStr">
        <is>
          <t>Active</t>
        </is>
      </c>
      <c r="O22" s="32" t="n"/>
      <c r="P22" s="64" t="n">
        <v>4.5</v>
      </c>
      <c r="Q22" s="63" t="n">
        <v>661</v>
      </c>
      <c r="R22" s="63" t="n">
        <v>372944</v>
      </c>
      <c r="S22" s="63"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59" t="n">
        <v>64.98999999999999</v>
      </c>
      <c r="H23" s="32" t="inlineStr">
        <is>
          <t>Helium 10 Xray, 2026-10-13</t>
        </is>
      </c>
      <c r="I23" s="33" t="n"/>
      <c r="J23" s="32" t="n"/>
      <c r="K23" s="33" t="n"/>
      <c r="L23" s="62" t="n"/>
      <c r="M23" s="63" t="n">
        <v>4</v>
      </c>
      <c r="N23" s="32" t="inlineStr">
        <is>
          <t>Active</t>
        </is>
      </c>
      <c r="O23" s="32" t="n"/>
      <c r="P23" s="64" t="n">
        <v>4.5</v>
      </c>
      <c r="Q23" s="63" t="n">
        <v>661</v>
      </c>
      <c r="R23" s="63" t="n">
        <v>372944</v>
      </c>
      <c r="S23" s="63"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59" t="n">
        <v>64.98999999999999</v>
      </c>
      <c r="H24" s="32" t="inlineStr">
        <is>
          <t>Helium 10 Xray, 2026-10-13</t>
        </is>
      </c>
      <c r="I24" s="33" t="n"/>
      <c r="J24" s="32" t="n"/>
      <c r="K24" s="33" t="n"/>
      <c r="L24" s="62" t="n"/>
      <c r="M24" s="63" t="n">
        <v>2</v>
      </c>
      <c r="N24" s="32" t="inlineStr">
        <is>
          <t>Active</t>
        </is>
      </c>
      <c r="O24" s="32" t="n"/>
      <c r="P24" s="64" t="n">
        <v>4.5</v>
      </c>
      <c r="Q24" s="63" t="n">
        <v>661</v>
      </c>
      <c r="R24" s="63" t="n">
        <v>372944</v>
      </c>
      <c r="S24" s="63"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59" t="n">
        <v>64.98999999999999</v>
      </c>
      <c r="H25" s="32" t="inlineStr">
        <is>
          <t>Helium 10 Xray, 2026-10-13</t>
        </is>
      </c>
      <c r="I25" s="33" t="n"/>
      <c r="J25" s="32" t="n"/>
      <c r="K25" s="33" t="n"/>
      <c r="L25" s="62" t="n"/>
      <c r="M25" s="63" t="n">
        <v>2</v>
      </c>
      <c r="N25" s="32" t="inlineStr">
        <is>
          <t>Active</t>
        </is>
      </c>
      <c r="O25" s="32" t="n"/>
      <c r="P25" s="64" t="n">
        <v>4.5</v>
      </c>
      <c r="Q25" s="63" t="n">
        <v>661</v>
      </c>
      <c r="R25" s="63" t="n">
        <v>372944</v>
      </c>
      <c r="S25" s="63"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0" t="n">
        <v>59.99</v>
      </c>
      <c r="J26" s="61" t="inlineStr">
        <is>
          <t>2026-03-12</t>
        </is>
      </c>
      <c r="K26" s="33" t="n">
        <v>11.69</v>
      </c>
      <c r="L26" s="62" t="n">
        <v>0.1948658109684948</v>
      </c>
      <c r="M26" s="63" t="n">
        <v>2</v>
      </c>
      <c r="N26" s="32" t="inlineStr">
        <is>
          <t>Inactive</t>
        </is>
      </c>
      <c r="O26" s="32" t="n"/>
      <c r="P26" s="64" t="n"/>
      <c r="Q26" s="63" t="n"/>
      <c r="R26" s="63" t="n"/>
      <c r="S26" s="63"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59" t="n">
        <v>64.98999999999999</v>
      </c>
      <c r="H27" s="32" t="inlineStr">
        <is>
          <t>Helium 10 Xray, 2026-10-13</t>
        </is>
      </c>
      <c r="I27" s="60" t="n">
        <v>54.99</v>
      </c>
      <c r="J27" s="61" t="inlineStr">
        <is>
          <t>2026-03-30</t>
        </is>
      </c>
      <c r="K27" s="33" t="n">
        <v>13.25</v>
      </c>
      <c r="L27" s="62" t="n">
        <v>0.2409529005273686</v>
      </c>
      <c r="M27" s="63" t="n">
        <v>2</v>
      </c>
      <c r="N27" s="32" t="inlineStr">
        <is>
          <t>Active</t>
        </is>
      </c>
      <c r="O27" s="32" t="n"/>
      <c r="P27" s="64" t="n">
        <v>4.5</v>
      </c>
      <c r="Q27" s="63" t="n">
        <v>661</v>
      </c>
      <c r="R27" s="63" t="n">
        <v>372944</v>
      </c>
      <c r="S27" s="63"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59" t="n">
        <v>64.98999999999999</v>
      </c>
      <c r="H28" s="32" t="inlineStr">
        <is>
          <t>Helium 10 Xray, 2026-10-13</t>
        </is>
      </c>
      <c r="I28" s="60" t="n">
        <v>54.99</v>
      </c>
      <c r="J28" s="61" t="inlineStr">
        <is>
          <t>2026-03-30</t>
        </is>
      </c>
      <c r="K28" s="33" t="n">
        <v>13.19</v>
      </c>
      <c r="L28" s="62" t="n">
        <v>0.2398617930532825</v>
      </c>
      <c r="M28" s="63" t="n">
        <v>2</v>
      </c>
      <c r="N28" s="32" t="inlineStr">
        <is>
          <t>Active</t>
        </is>
      </c>
      <c r="O28" s="32" t="n"/>
      <c r="P28" s="64" t="n">
        <v>4.5</v>
      </c>
      <c r="Q28" s="63" t="n">
        <v>661</v>
      </c>
      <c r="R28" s="63" t="n">
        <v>372944</v>
      </c>
      <c r="S28" s="63"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59" t="n">
        <v>79.98999999999999</v>
      </c>
      <c r="H29" s="32" t="inlineStr">
        <is>
          <t>Helium 10 Xray, 2026-10-13</t>
        </is>
      </c>
      <c r="I29" s="60" t="n">
        <v>69.98999999999999</v>
      </c>
      <c r="J29" s="61" t="inlineStr">
        <is>
          <t>2026-03-30</t>
        </is>
      </c>
      <c r="K29" s="33" t="n">
        <v>13.91</v>
      </c>
      <c r="L29" s="62" t="n">
        <v>0.1987426775253607</v>
      </c>
      <c r="M29" s="63" t="n">
        <v>1</v>
      </c>
      <c r="N29" s="32" t="inlineStr">
        <is>
          <t>Active</t>
        </is>
      </c>
      <c r="O29" s="32" t="n"/>
      <c r="P29" s="64" t="n">
        <v>4.5</v>
      </c>
      <c r="Q29" s="63" t="n">
        <v>661</v>
      </c>
      <c r="R29" s="63" t="n">
        <v>372944</v>
      </c>
      <c r="S29" s="63"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59" t="n">
        <v>64.98999999999999</v>
      </c>
      <c r="H30" s="32" t="inlineStr">
        <is>
          <t>Helium 10 Xray, 2026-10-13</t>
        </is>
      </c>
      <c r="I30" s="60" t="n">
        <v>54.99</v>
      </c>
      <c r="J30" s="61" t="inlineStr">
        <is>
          <t>2026-03-30</t>
        </is>
      </c>
      <c r="K30" s="33" t="n">
        <v>13.25</v>
      </c>
      <c r="L30" s="62" t="n">
        <v>0.2409529005273686</v>
      </c>
      <c r="M30" s="63" t="n">
        <v>1</v>
      </c>
      <c r="N30" s="32" t="inlineStr">
        <is>
          <t>Active</t>
        </is>
      </c>
      <c r="O30" s="32" t="n"/>
      <c r="P30" s="64" t="n">
        <v>4.5</v>
      </c>
      <c r="Q30" s="63" t="n">
        <v>661</v>
      </c>
      <c r="R30" s="63" t="n">
        <v>372944</v>
      </c>
      <c r="S30" s="63"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59" t="n">
        <v>64.98999999999999</v>
      </c>
      <c r="H31" s="32" t="inlineStr">
        <is>
          <t>Helium 10 Xray, 2026-10-13</t>
        </is>
      </c>
      <c r="I31" s="60" t="n">
        <v>54.99</v>
      </c>
      <c r="J31" s="61" t="inlineStr">
        <is>
          <t>2026-03-30</t>
        </is>
      </c>
      <c r="K31" s="33" t="n">
        <v>13.16</v>
      </c>
      <c r="L31" s="62" t="n">
        <v>0.2393162393162394</v>
      </c>
      <c r="M31" s="63" t="n">
        <v>1</v>
      </c>
      <c r="N31" s="32" t="inlineStr">
        <is>
          <t>Active</t>
        </is>
      </c>
      <c r="O31" s="32" t="n"/>
      <c r="P31" s="64" t="n">
        <v>4.5</v>
      </c>
      <c r="Q31" s="63" t="n">
        <v>661</v>
      </c>
      <c r="R31" s="63" t="n">
        <v>372944</v>
      </c>
      <c r="S31" s="63"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2" t="n"/>
      <c r="M32" s="63" t="n"/>
      <c r="N32" s="32" t="inlineStr">
        <is>
          <t>Inactive</t>
        </is>
      </c>
      <c r="O32" s="32" t="n"/>
      <c r="P32" s="64" t="n"/>
      <c r="Q32" s="63" t="n"/>
      <c r="R32" s="63" t="n"/>
      <c r="S32" s="63"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0" t="n">
        <v>69.98999999999999</v>
      </c>
      <c r="J33" s="61" t="inlineStr">
        <is>
          <t>2026-03-30</t>
        </is>
      </c>
      <c r="K33" s="33" t="n">
        <v>14.15999999999999</v>
      </c>
      <c r="L33" s="62" t="n">
        <v>0.2023146163737675</v>
      </c>
      <c r="M33" s="63" t="n"/>
      <c r="N33" s="32" t="inlineStr">
        <is>
          <t>Inactive</t>
        </is>
      </c>
      <c r="O33" s="32" t="n"/>
      <c r="P33" s="64" t="n"/>
      <c r="Q33" s="63" t="n"/>
      <c r="R33" s="63" t="n"/>
      <c r="S33" s="63"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0" t="n">
        <v>69.98999999999999</v>
      </c>
      <c r="J34" s="61" t="inlineStr">
        <is>
          <t>2026-03-20</t>
        </is>
      </c>
      <c r="K34" s="33" t="n">
        <v>14.15999999999999</v>
      </c>
      <c r="L34" s="62" t="n">
        <v>0.2023146163737675</v>
      </c>
      <c r="M34" s="63" t="n">
        <v>0</v>
      </c>
      <c r="N34" s="32" t="inlineStr">
        <is>
          <t>Inactive</t>
        </is>
      </c>
      <c r="O34" s="32" t="n"/>
      <c r="P34" s="64" t="n"/>
      <c r="Q34" s="63" t="n"/>
      <c r="R34" s="63" t="n"/>
      <c r="S34" s="63"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59" t="n">
        <v>79.98999999999999</v>
      </c>
      <c r="H35" s="32" t="inlineStr">
        <is>
          <t>Helium 10 Xray, 2026-10-13</t>
        </is>
      </c>
      <c r="I35" s="60" t="n">
        <v>69.98999999999999</v>
      </c>
      <c r="J35" s="61" t="inlineStr">
        <is>
          <t>2026-03-10</t>
        </is>
      </c>
      <c r="K35" s="33" t="n">
        <v>13.93999999999999</v>
      </c>
      <c r="L35" s="62" t="n">
        <v>0.1991713101871695</v>
      </c>
      <c r="M35" s="63" t="n">
        <v>0</v>
      </c>
      <c r="N35" s="32" t="inlineStr">
        <is>
          <t>Active</t>
        </is>
      </c>
      <c r="O35" s="32" t="n"/>
      <c r="P35" s="64" t="n">
        <v>4.5</v>
      </c>
      <c r="Q35" s="63" t="n">
        <v>661</v>
      </c>
      <c r="R35" s="63" t="n">
        <v>372944</v>
      </c>
      <c r="S35" s="63"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0" t="n">
        <v>59.99</v>
      </c>
      <c r="J36" s="61" t="inlineStr">
        <is>
          <t>2026-03-20</t>
        </is>
      </c>
      <c r="K36" s="33" t="n">
        <v>11.65</v>
      </c>
      <c r="L36" s="62" t="n">
        <v>0.1941990331721954</v>
      </c>
      <c r="M36" s="63" t="n">
        <v>0</v>
      </c>
      <c r="N36" s="32" t="inlineStr">
        <is>
          <t>Inactive</t>
        </is>
      </c>
      <c r="O36" s="32" t="n"/>
      <c r="P36" s="64" t="n"/>
      <c r="Q36" s="63" t="n"/>
      <c r="R36" s="63" t="n"/>
      <c r="S36" s="63"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59" t="n">
        <v>64.98999999999999</v>
      </c>
      <c r="H37" s="32" t="inlineStr">
        <is>
          <t>Helium 10 Xray, 2026-10-13</t>
        </is>
      </c>
      <c r="I37" s="60" t="n">
        <v>54.99</v>
      </c>
      <c r="J37" s="61" t="inlineStr">
        <is>
          <t>2026-03-30</t>
        </is>
      </c>
      <c r="K37" s="33" t="n">
        <v>13.17</v>
      </c>
      <c r="L37" s="62" t="n">
        <v>0.2394980905619204</v>
      </c>
      <c r="M37" s="63" t="n">
        <v>0</v>
      </c>
      <c r="N37" s="32" t="inlineStr">
        <is>
          <t>Active</t>
        </is>
      </c>
      <c r="O37" s="32" t="n"/>
      <c r="P37" s="64" t="n">
        <v>4.5</v>
      </c>
      <c r="Q37" s="63" t="n">
        <v>661</v>
      </c>
      <c r="R37" s="63" t="n">
        <v>372944</v>
      </c>
      <c r="S37" s="63" t="n">
        <v>4</v>
      </c>
      <c r="T37" s="32" t="n"/>
    </row>
    <row r="39" ht="20" customHeight="1">
      <c r="A39" s="53" t="inlineStr">
        <is>
          <t>3 · OUR BFCM 2025 RESULT &amp; EVENT VISIBILITY</t>
        </is>
      </c>
    </row>
    <row r="40">
      <c r="A40" s="66" t="inlineStr">
        <is>
          <t>Window</t>
        </is>
      </c>
      <c r="B40" s="67" t="n"/>
      <c r="C40" s="68" t="n"/>
      <c r="D40" s="66" t="inlineStr">
        <is>
          <t>Ad spend</t>
        </is>
      </c>
      <c r="E40" s="66" t="inlineStr">
        <is>
          <t>Ad sales</t>
        </is>
      </c>
      <c r="F40" s="66" t="inlineStr">
        <is>
          <t>ACoS</t>
        </is>
      </c>
      <c r="G40" s="66" t="inlineStr">
        <is>
          <t>TACoS</t>
        </is>
      </c>
      <c r="H40" s="66" t="inlineStr">
        <is>
          <t>Total sales (derived)</t>
        </is>
      </c>
      <c r="J40" s="66" t="inlineStr">
        <is>
          <t>Ad orders</t>
        </is>
      </c>
      <c r="K40" s="66" t="inlineStr">
        <is>
          <t>CVR</t>
        </is>
      </c>
    </row>
    <row r="41">
      <c r="A41" s="69" t="inlineStr">
        <is>
          <t>Pre-event Oct 21 - Nov 19, 2025 (30d)</t>
        </is>
      </c>
      <c r="B41" s="67" t="n"/>
      <c r="C41" s="68" t="n"/>
      <c r="D41" s="70" t="n">
        <v>4436.54</v>
      </c>
      <c r="E41" s="70" t="n">
        <v>8307.099999999999</v>
      </c>
      <c r="F41" s="71" t="n">
        <v>53.4</v>
      </c>
      <c r="G41" s="71" t="n">
        <v>26.95627975705845</v>
      </c>
      <c r="H41" s="70" t="n">
        <v>16458.28</v>
      </c>
      <c r="J41" s="72" t="n">
        <v>143</v>
      </c>
      <c r="K41" s="73" t="n">
        <v>10.14</v>
      </c>
    </row>
    <row r="42">
      <c r="A42" s="69" t="inlineStr">
        <is>
          <t>BFCM week Nov 20 - Dec 1, 2025 (12d)</t>
        </is>
      </c>
      <c r="B42" s="67" t="n"/>
      <c r="C42" s="68" t="n"/>
      <c r="D42" s="70" t="n">
        <v>2744.45</v>
      </c>
      <c r="E42" s="70" t="n">
        <v>5895.059999999999</v>
      </c>
      <c r="F42" s="71" t="n">
        <v>46.6</v>
      </c>
      <c r="G42" s="71" t="n">
        <v>12.28370527521909</v>
      </c>
      <c r="H42" s="70" t="n">
        <v>22342.2</v>
      </c>
      <c r="J42" s="72" t="n">
        <v>121</v>
      </c>
      <c r="K42" s="73" t="n">
        <v>11.97</v>
      </c>
    </row>
    <row r="43">
      <c r="A43" s="69" t="inlineStr">
        <is>
          <t>December 2 - 31, 2025 (30d)</t>
        </is>
      </c>
      <c r="B43" s="67" t="n"/>
      <c r="C43" s="68" t="n"/>
      <c r="D43" s="70" t="n">
        <v>8916.02</v>
      </c>
      <c r="E43" s="70" t="n">
        <v>27042.28000000001</v>
      </c>
      <c r="F43" s="71" t="n">
        <v>33</v>
      </c>
      <c r="G43" s="71" t="n">
        <v>12.86234037519403</v>
      </c>
      <c r="H43" s="70" t="n">
        <v>69318.8</v>
      </c>
      <c r="J43" s="72" t="n">
        <v>437</v>
      </c>
      <c r="K43" s="73" t="n">
        <v>8.66</v>
      </c>
    </row>
    <row r="45">
      <c r="A45" s="66" t="inlineStr">
        <is>
          <t>Actual sales (SellerBoard)</t>
        </is>
      </c>
      <c r="B45" s="67" t="n"/>
      <c r="C45" s="68" t="n"/>
      <c r="D45" s="66" t="inlineStr">
        <is>
          <t>Sales</t>
        </is>
      </c>
      <c r="E45" s="66" t="inlineStr">
        <is>
          <t>Units</t>
        </is>
      </c>
      <c r="F45" s="66" t="inlineStr">
        <is>
          <t>Organic units</t>
        </is>
      </c>
      <c r="G45" s="66" t="inlineStr">
        <is>
          <t>Ad units</t>
        </is>
      </c>
      <c r="H45" s="66" t="inlineStr">
        <is>
          <t>Ad cost</t>
        </is>
      </c>
      <c r="J45" s="66" t="inlineStr">
        <is>
          <t>TACoS (actual)</t>
        </is>
      </c>
      <c r="K45" s="66" t="inlineStr">
        <is>
          <t>Sessions</t>
        </is>
      </c>
      <c r="L45" s="66" t="inlineStr">
        <is>
          <t>Unit session %</t>
        </is>
      </c>
      <c r="M45" s="66" t="inlineStr">
        <is>
          <t>Avg price</t>
        </is>
      </c>
      <c r="N45" s="66" t="inlineStr">
        <is>
          <t>Refunds</t>
        </is>
      </c>
    </row>
    <row r="46">
      <c r="A46" s="69" t="inlineStr">
        <is>
          <t>Pre-event Oct 21 - Nov 19, 2025 (30d)</t>
        </is>
      </c>
      <c r="B46" s="67" t="n"/>
      <c r="C46" s="68" t="n"/>
      <c r="D46" s="70" t="n">
        <v>16458.28</v>
      </c>
      <c r="E46" s="72" t="n">
        <v>274</v>
      </c>
      <c r="F46" s="72" t="n">
        <v>222</v>
      </c>
      <c r="G46" s="72" t="n">
        <v>52</v>
      </c>
      <c r="H46" s="70" t="n">
        <v>4436.54</v>
      </c>
      <c r="J46" s="74" t="n">
        <v>0.2695627975705845</v>
      </c>
      <c r="K46" s="72" t="n">
        <v>6705</v>
      </c>
      <c r="L46" s="74" t="n">
        <v>0.04086502609992543</v>
      </c>
      <c r="M46" s="75" t="n">
        <v>60.06671532846715</v>
      </c>
      <c r="N46" s="72" t="n">
        <v>13</v>
      </c>
    </row>
    <row r="47">
      <c r="A47" s="69" t="inlineStr">
        <is>
          <t>BFCM week Nov 20 - Dec 1, 2025 (12d)</t>
        </is>
      </c>
      <c r="B47" s="67" t="n"/>
      <c r="C47" s="68" t="n"/>
      <c r="D47" s="70" t="n">
        <v>22342.2</v>
      </c>
      <c r="E47" s="72" t="n">
        <v>459</v>
      </c>
      <c r="F47" s="72" t="n">
        <v>411</v>
      </c>
      <c r="G47" s="72" t="n">
        <v>48</v>
      </c>
      <c r="H47" s="70" t="n">
        <v>2744.45</v>
      </c>
      <c r="J47" s="74" t="n">
        <v>0.1228370527521909</v>
      </c>
      <c r="K47" s="72" t="n">
        <v>7753</v>
      </c>
      <c r="L47" s="74" t="n">
        <v>0.05920288920417903</v>
      </c>
      <c r="M47" s="75" t="n">
        <v>48.67581699346405</v>
      </c>
      <c r="N47" s="72" t="n">
        <v>3</v>
      </c>
    </row>
    <row r="48">
      <c r="A48" s="69" t="inlineStr">
        <is>
          <t>December 2 - 31, 2025 (30d)</t>
        </is>
      </c>
      <c r="B48" s="67" t="n"/>
      <c r="C48" s="68" t="n"/>
      <c r="D48" s="70" t="n">
        <v>69318.8</v>
      </c>
      <c r="E48" s="72" t="n">
        <v>1125</v>
      </c>
      <c r="F48" s="72" t="n">
        <v>984</v>
      </c>
      <c r="G48" s="72" t="n">
        <v>141</v>
      </c>
      <c r="H48" s="70" t="n">
        <v>8916.02</v>
      </c>
      <c r="J48" s="74" t="n">
        <v>0.1286234037519403</v>
      </c>
      <c r="K48" s="72" t="n">
        <v>23974</v>
      </c>
      <c r="L48" s="74" t="n">
        <v>0.04692583632268291</v>
      </c>
      <c r="M48" s="75" t="n">
        <v>61.61671111111112</v>
      </c>
      <c r="N48" s="72" t="n">
        <v>38</v>
      </c>
    </row>
    <row r="49">
      <c r="A49" s="58" t="inlineStr">
        <is>
          <t>SellerBoard, Ecotero account, Amazon parent B0FTG1NNKG plus any of this product's child ASINs SellerBoard lists on their own, UTC days. Lift above uses these actual sales (3.39x; the ad-spend estimate was 3.39x).</t>
        </is>
      </c>
    </row>
    <row r="50" ht="18" customHeight="1">
      <c r="A50" s="76" t="inlineStr">
        <is>
          <t>Deals Nov 1 - Dec 5, 2025: no record returned by the DataHub promotions feed. Unknown, not proof that no deal ran.</t>
        </is>
      </c>
    </row>
    <row r="51" ht="18" customHeight="1">
      <c r="A51" s="77" t="inlineStr">
        <is>
          <t>BFCM 2026 plan (BM, Oct 15, 2026): Best Deal 11/19-11/30. Deal price and depth not yet given; not yet visible in Amazon's deal feed.</t>
        </is>
      </c>
    </row>
    <row r="52" ht="18" customHeight="1">
      <c r="A52" s="79" t="inlineStr">
        <is>
          <t>ASSUMED 2026 deal prices, until BM's final: B0F7M5T8FH today $69.99; $59.49 at 15% off (Nov 19-26) and $55.99 at 20% off (Nov 27-30 (Black Friday to Cyber Monday)). Rule: Umair Tahir via Shayan Rana, Oct 15, 2026. Evidence: our BFCM 2025 deal on B0F7M4Q2HQ (US, Keepa): $64.99 before, $51.99 during, 20% off; US competitors' median price cut in BFCM 2025: 15% (4 rivals). Amazon may use a lower reference price than today's (it sets it the day before the deal), which would lower the deal price.</t>
        </is>
      </c>
    </row>
    <row r="53" ht="30" customHeight="1">
      <c r="A53" s="76"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6"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8" t="inlineStr">
        <is>
          <t>Command Center visibility for our best child B0F7M4Q2HQ: organic score 15.4 before BFCM 2025 → 30.2 in BFCM week; Prime Day 2026 6.7 → 21.8; Aug-Sep 2026 37.8.</t>
        </is>
      </c>
    </row>
    <row r="58" ht="20" customHeight="1">
      <c r="A58" s="53" t="inlineStr">
        <is>
          <t>4 · COMPETITOR LANDSCAPE (18 mapped)</t>
        </is>
      </c>
    </row>
    <row r="59">
      <c r="A59" s="58"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3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3"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Cooling Fitted Sheet  ·  Amazon.com (US)  ·  Cooling  ·  BFCM role: Off-season  ·  Scope: Core</t>
        </is>
      </c>
    </row>
    <row r="2">
      <c r="A2" s="52" t="inlineStr">
        <is>
          <t>← Dashboard</t>
        </is>
      </c>
    </row>
    <row r="3" ht="20" customHeight="1">
      <c r="A3" s="53"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4" t="inlineStr">
        <is>
          <t>Cal King, Full, King, Queen, Twin</t>
        </is>
      </c>
      <c r="S4" s="11" t="inlineStr">
        <is>
          <t>Break-even ACoS</t>
        </is>
      </c>
      <c r="T4" s="54" t="inlineStr">
        <is>
          <t>25%</t>
        </is>
      </c>
    </row>
    <row r="5" ht="22" customHeight="1">
      <c r="C5" s="11" t="inlineStr">
        <is>
          <t>Brand</t>
        </is>
      </c>
      <c r="D5" s="54" t="inlineStr">
        <is>
          <t>Sleephoria</t>
        </is>
      </c>
      <c r="K5" s="11" t="inlineStr">
        <is>
          <t>Colours</t>
        </is>
      </c>
      <c r="L5" s="54" t="inlineStr">
        <is>
          <t>Beige, Cool Blue, Cool Grey, Cream, Graphite, Light Blue, Light Grey, Light Pink, Midnight Black, Navy Blue, Regal Purple, Sage Green, White</t>
        </is>
      </c>
      <c r="S5" s="11" t="inlineStr">
        <is>
          <t>Units last 28 days</t>
        </is>
      </c>
      <c r="T5" s="54" t="inlineStr">
        <is>
          <t>513</t>
        </is>
      </c>
    </row>
    <row r="6" ht="22" customHeight="1">
      <c r="C6" s="11" t="inlineStr">
        <is>
          <t>Marketplace</t>
        </is>
      </c>
      <c r="D6" s="54" t="inlineStr">
        <is>
          <t>Amazon.com (US)</t>
        </is>
      </c>
      <c r="K6" s="11" t="inlineStr">
        <is>
          <t>Price now, best child</t>
        </is>
      </c>
      <c r="L6" s="54" t="inlineStr">
        <is>
          <t>$39.99 (Helium 10 Xray, 2026-10-13)</t>
        </is>
      </c>
      <c r="S6" s="11" t="inlineStr">
        <is>
          <t>Command Center product ASIN</t>
        </is>
      </c>
      <c r="T6" s="54" t="inlineStr">
        <is>
          <t>B0F7M4DPM6 (one of our child ASINs, not the Amazon parent)</t>
        </is>
      </c>
    </row>
    <row r="7" ht="22" customHeight="1">
      <c r="C7" s="11" t="inlineStr">
        <is>
          <t>Parent ASIN (Amazon)</t>
        </is>
      </c>
      <c r="D7" s="54" t="inlineStr">
        <is>
          <t>B0GR6GBJYC</t>
        </is>
      </c>
      <c r="K7" s="11" t="inlineStr">
        <is>
          <t>Rating / reviews now</t>
        </is>
      </c>
      <c r="L7" s="54" t="inlineStr">
        <is>
          <t>4.6 / 496 (Helium 10 Xray, 2026-10-13)</t>
        </is>
      </c>
    </row>
    <row r="8" ht="22" customHeight="1">
      <c r="C8" s="11" t="inlineStr">
        <is>
          <t>Best-selling child ASIN</t>
        </is>
      </c>
      <c r="D8" s="54" t="inlineStr">
        <is>
          <t>B0F7M3YQ5R</t>
        </is>
      </c>
      <c r="K8" s="11" t="inlineStr">
        <is>
          <t>Live prices held</t>
        </is>
      </c>
      <c r="L8" s="54" t="inlineStr">
        <is>
          <t>39 of 65 variations</t>
        </is>
      </c>
    </row>
    <row r="9" ht="22" customHeight="1">
      <c r="C9" s="11" t="inlineStr">
        <is>
          <t>Stage</t>
        </is>
      </c>
      <c r="D9" s="54" t="inlineStr">
        <is>
          <t>Re-Launch</t>
        </is>
      </c>
      <c r="K9" s="11" t="inlineStr">
        <is>
          <t>Blended price (Command Center)</t>
        </is>
      </c>
      <c r="L9" s="54" t="inlineStr">
        <is>
          <t>$33.23 - fee feed as of 2026-03-30, STALE</t>
        </is>
      </c>
    </row>
    <row r="10">
      <c r="C10" s="11" t="inlineStr">
        <is>
          <t>Total variations (SKUs)</t>
        </is>
      </c>
      <c r="D10" s="54" t="n">
        <v>65</v>
      </c>
      <c r="K10" s="11" t="inlineStr">
        <is>
          <t>Contribution / unit</t>
        </is>
      </c>
      <c r="L10" s="54" t="inlineStr">
        <is>
          <t>$8.37</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0.98x</t>
        </is>
      </c>
      <c r="E12" s="56" t="inlineStr">
        <is>
          <t>0.0%</t>
        </is>
      </c>
      <c r="I12" s="56" t="inlineStr">
        <is>
          <t>1.43x</t>
        </is>
      </c>
      <c r="M12" s="56" t="inlineStr">
        <is>
          <t>11</t>
        </is>
      </c>
      <c r="Q12" s="56" t="inlineStr">
        <is>
          <t>2</t>
        </is>
      </c>
      <c r="U12" s="56" t="inlineStr">
        <is>
          <t>1</t>
        </is>
      </c>
    </row>
    <row r="13">
      <c r="A13" s="57" t="inlineStr">
        <is>
          <t>daily sales, BFCM wk vs 30 days before (SellerBoard actual)</t>
        </is>
      </c>
      <c r="E13" s="57" t="inlineStr">
        <is>
          <t>vs 0.0% before</t>
        </is>
      </c>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(65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59" t="n">
        <v>39.99</v>
      </c>
      <c r="H18" s="32" t="inlineStr">
        <is>
          <t>Helium 10 Xray, 2026-10-13</t>
        </is>
      </c>
      <c r="I18" s="60" t="n">
        <v>34.99</v>
      </c>
      <c r="J18" s="61" t="inlineStr">
        <is>
          <t>2026-03-30</t>
        </is>
      </c>
      <c r="K18" s="33" t="n">
        <v>9.180000000000001</v>
      </c>
      <c r="L18" s="62" t="n">
        <v>0.2623606744784224</v>
      </c>
      <c r="M18" s="63" t="n">
        <v>67</v>
      </c>
      <c r="N18" s="32" t="inlineStr">
        <is>
          <t>Active</t>
        </is>
      </c>
      <c r="O18" s="32" t="inlineStr">
        <is>
          <t>Yes (34%)</t>
        </is>
      </c>
      <c r="P18" s="64" t="n">
        <v>4.6</v>
      </c>
      <c r="Q18" s="63" t="n">
        <v>496</v>
      </c>
      <c r="R18" s="63" t="n">
        <v>49030</v>
      </c>
      <c r="S18" s="63"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59" t="n">
        <v>37.99</v>
      </c>
      <c r="H19" s="32" t="inlineStr">
        <is>
          <t>Helium 10 Xray, 2026-10-13</t>
        </is>
      </c>
      <c r="I19" s="60" t="n">
        <v>31.99</v>
      </c>
      <c r="J19" s="61" t="inlineStr">
        <is>
          <t>2026-03-30</t>
        </is>
      </c>
      <c r="K19" s="33" t="n">
        <v>8.309999999999995</v>
      </c>
      <c r="L19" s="62" t="n">
        <v>0.2597686777117848</v>
      </c>
      <c r="M19" s="63" t="n">
        <v>49</v>
      </c>
      <c r="N19" s="32" t="inlineStr">
        <is>
          <t>Active</t>
        </is>
      </c>
      <c r="O19" s="32" t="inlineStr">
        <is>
          <t>Yes (27%)</t>
        </is>
      </c>
      <c r="P19" s="64" t="n">
        <v>4.6</v>
      </c>
      <c r="Q19" s="63" t="n">
        <v>496</v>
      </c>
      <c r="R19" s="63" t="n">
        <v>49030</v>
      </c>
      <c r="S19" s="63"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0" t="n">
        <v>34.99</v>
      </c>
      <c r="J20" s="61" t="inlineStr">
        <is>
          <t>2026-03-30</t>
        </is>
      </c>
      <c r="K20" s="33" t="n">
        <v>8.870000000000003</v>
      </c>
      <c r="L20" s="62" t="n">
        <v>0.253501000285796</v>
      </c>
      <c r="M20" s="63" t="n">
        <v>37</v>
      </c>
      <c r="N20" s="32" t="inlineStr">
        <is>
          <t>Active</t>
        </is>
      </c>
      <c r="O20" s="32" t="n"/>
      <c r="P20" s="64" t="n"/>
      <c r="Q20" s="63" t="n"/>
      <c r="R20" s="63" t="n"/>
      <c r="S20" s="63"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59" t="n">
        <v>39.99</v>
      </c>
      <c r="H21" s="32" t="inlineStr">
        <is>
          <t>Helium 10 Xray, 2026-10-13</t>
        </is>
      </c>
      <c r="I21" s="60" t="n">
        <v>32.99</v>
      </c>
      <c r="J21" s="61" t="inlineStr">
        <is>
          <t>2026-03-22</t>
        </is>
      </c>
      <c r="K21" s="33" t="n">
        <v>7.250000000000002</v>
      </c>
      <c r="L21" s="62" t="n">
        <v>0.2197635647165808</v>
      </c>
      <c r="M21" s="63" t="n">
        <v>32</v>
      </c>
      <c r="N21" s="32" t="inlineStr">
        <is>
          <t>Active</t>
        </is>
      </c>
      <c r="O21" s="32" t="inlineStr">
        <is>
          <t>Yes (9%)</t>
        </is>
      </c>
      <c r="P21" s="64" t="n">
        <v>4.6</v>
      </c>
      <c r="Q21" s="63" t="n">
        <v>496</v>
      </c>
      <c r="R21" s="63" t="n">
        <v>49030</v>
      </c>
      <c r="S21" s="63"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59" t="n">
        <v>39.99</v>
      </c>
      <c r="H22" s="32" t="inlineStr">
        <is>
          <t>Helium 10 Xray, 2026-10-13</t>
        </is>
      </c>
      <c r="I22" s="60" t="n">
        <v>34.99</v>
      </c>
      <c r="J22" s="61" t="inlineStr">
        <is>
          <t>2026-03-30</t>
        </is>
      </c>
      <c r="K22" s="33" t="n">
        <v>8.870000000000003</v>
      </c>
      <c r="L22" s="62" t="n">
        <v>0.253501000285796</v>
      </c>
      <c r="M22" s="63" t="n">
        <v>31</v>
      </c>
      <c r="N22" s="32" t="inlineStr">
        <is>
          <t>Active</t>
        </is>
      </c>
      <c r="O22" s="32" t="n"/>
      <c r="P22" s="64" t="n">
        <v>4.6</v>
      </c>
      <c r="Q22" s="63" t="n">
        <v>496</v>
      </c>
      <c r="R22" s="63" t="n">
        <v>49030</v>
      </c>
      <c r="S22" s="63"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59" t="n">
        <v>37.99</v>
      </c>
      <c r="H23" s="32" t="inlineStr">
        <is>
          <t>Helium 10 Xray, 2026-10-13</t>
        </is>
      </c>
      <c r="I23" s="60" t="n">
        <v>31.99</v>
      </c>
      <c r="J23" s="61" t="inlineStr">
        <is>
          <t>2026-03-30</t>
        </is>
      </c>
      <c r="K23" s="33" t="n">
        <v>8.309999999999995</v>
      </c>
      <c r="L23" s="62" t="n">
        <v>0.2597686777117848</v>
      </c>
      <c r="M23" s="63" t="n">
        <v>27</v>
      </c>
      <c r="N23" s="32" t="inlineStr">
        <is>
          <t>Active</t>
        </is>
      </c>
      <c r="O23" s="32" t="n"/>
      <c r="P23" s="64" t="n">
        <v>4.6</v>
      </c>
      <c r="Q23" s="63" t="n">
        <v>496</v>
      </c>
      <c r="R23" s="63" t="n">
        <v>49030</v>
      </c>
      <c r="S23" s="63"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59" t="n">
        <v>39.99</v>
      </c>
      <c r="H24" s="32" t="inlineStr">
        <is>
          <t>Helium 10 Xray, 2026-10-13</t>
        </is>
      </c>
      <c r="I24" s="60" t="n">
        <v>34.99</v>
      </c>
      <c r="J24" s="61" t="inlineStr">
        <is>
          <t>2026-03-30</t>
        </is>
      </c>
      <c r="K24" s="33" t="n">
        <v>9.100000000000003</v>
      </c>
      <c r="L24" s="62" t="n">
        <v>0.2600743069448415</v>
      </c>
      <c r="M24" s="63" t="n">
        <v>25</v>
      </c>
      <c r="N24" s="32" t="inlineStr">
        <is>
          <t>Active</t>
        </is>
      </c>
      <c r="O24" s="32" t="inlineStr">
        <is>
          <t>Yes (7%)</t>
        </is>
      </c>
      <c r="P24" s="64" t="n">
        <v>4.6</v>
      </c>
      <c r="Q24" s="63" t="n">
        <v>496</v>
      </c>
      <c r="R24" s="63" t="n">
        <v>49029</v>
      </c>
      <c r="S24" s="63"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59" t="n">
        <v>37.99</v>
      </c>
      <c r="H25" s="32" t="inlineStr">
        <is>
          <t>Helium 10 Xray, 2026-10-13</t>
        </is>
      </c>
      <c r="I25" s="60" t="n">
        <v>31.99</v>
      </c>
      <c r="J25" s="61" t="inlineStr">
        <is>
          <t>2026-03-30</t>
        </is>
      </c>
      <c r="K25" s="33" t="n">
        <v>8.449999999999996</v>
      </c>
      <c r="L25" s="62" t="n">
        <v>0.2641450453266644</v>
      </c>
      <c r="M25" s="63" t="n">
        <v>22</v>
      </c>
      <c r="N25" s="32" t="inlineStr">
        <is>
          <t>Active</t>
        </is>
      </c>
      <c r="O25" s="32" t="n"/>
      <c r="P25" s="64" t="n">
        <v>4.6</v>
      </c>
      <c r="Q25" s="63" t="n">
        <v>496</v>
      </c>
      <c r="R25" s="63" t="n">
        <v>49029</v>
      </c>
      <c r="S25" s="63"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59" t="n">
        <v>37.99</v>
      </c>
      <c r="H26" s="32" t="inlineStr">
        <is>
          <t>Helium 10 Xray, 2026-10-13</t>
        </is>
      </c>
      <c r="I26" s="60" t="n">
        <v>31.99</v>
      </c>
      <c r="J26" s="61" t="inlineStr">
        <is>
          <t>2026-03-30</t>
        </is>
      </c>
      <c r="K26" s="33" t="n">
        <v>8.449999999999996</v>
      </c>
      <c r="L26" s="62" t="n">
        <v>0.2641450453266644</v>
      </c>
      <c r="M26" s="63" t="n">
        <v>20</v>
      </c>
      <c r="N26" s="32" t="inlineStr">
        <is>
          <t>Active</t>
        </is>
      </c>
      <c r="O26" s="32" t="n"/>
      <c r="P26" s="64" t="n">
        <v>4.6</v>
      </c>
      <c r="Q26" s="63" t="n">
        <v>496</v>
      </c>
      <c r="R26" s="63" t="n">
        <v>49030</v>
      </c>
      <c r="S26" s="63"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59" t="n">
        <v>41.59</v>
      </c>
      <c r="H27" s="32" t="inlineStr">
        <is>
          <t>Helium 10 Xray, 2026-10-13</t>
        </is>
      </c>
      <c r="I27" s="60" t="n">
        <v>34.99</v>
      </c>
      <c r="J27" s="61" t="inlineStr">
        <is>
          <t>2026-03-30</t>
        </is>
      </c>
      <c r="K27" s="33" t="n">
        <v>8.870000000000003</v>
      </c>
      <c r="L27" s="62" t="n">
        <v>0.253501000285796</v>
      </c>
      <c r="M27" s="63" t="n">
        <v>19</v>
      </c>
      <c r="N27" s="32" t="inlineStr">
        <is>
          <t>Active</t>
        </is>
      </c>
      <c r="O27" s="32" t="n"/>
      <c r="P27" s="64" t="n">
        <v>4.6</v>
      </c>
      <c r="Q27" s="63" t="n">
        <v>496</v>
      </c>
      <c r="R27" s="63" t="n">
        <v>49030</v>
      </c>
      <c r="S27" s="63"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59" t="n">
        <v>37.99</v>
      </c>
      <c r="H28" s="32" t="inlineStr">
        <is>
          <t>Helium 10 Xray, 2026-10-13</t>
        </is>
      </c>
      <c r="I28" s="60" t="n">
        <v>31.99</v>
      </c>
      <c r="J28" s="61" t="inlineStr">
        <is>
          <t>2026-03-30</t>
        </is>
      </c>
      <c r="K28" s="33" t="n">
        <v>8.449999999999996</v>
      </c>
      <c r="L28" s="62" t="n">
        <v>0.2641450453266644</v>
      </c>
      <c r="M28" s="63" t="n">
        <v>19</v>
      </c>
      <c r="N28" s="32" t="inlineStr">
        <is>
          <t>Active</t>
        </is>
      </c>
      <c r="O28" s="32" t="n"/>
      <c r="P28" s="64" t="n">
        <v>4.6</v>
      </c>
      <c r="Q28" s="63" t="n">
        <v>496</v>
      </c>
      <c r="R28" s="63" t="n">
        <v>49030</v>
      </c>
      <c r="S28" s="63"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59" t="n">
        <v>37.99</v>
      </c>
      <c r="H29" s="32" t="inlineStr">
        <is>
          <t>Helium 10 Xray, 2026-10-13</t>
        </is>
      </c>
      <c r="I29" s="60" t="n">
        <v>31.99</v>
      </c>
      <c r="J29" s="61" t="inlineStr">
        <is>
          <t>2026-03-30</t>
        </is>
      </c>
      <c r="K29" s="33" t="n">
        <v>8.159999999999997</v>
      </c>
      <c r="L29" s="62" t="n">
        <v>0.2550797124101281</v>
      </c>
      <c r="M29" s="63" t="n">
        <v>15</v>
      </c>
      <c r="N29" s="32" t="inlineStr">
        <is>
          <t>Active</t>
        </is>
      </c>
      <c r="O29" s="32" t="inlineStr">
        <is>
          <t>Yes (6%)</t>
        </is>
      </c>
      <c r="P29" s="64" t="n">
        <v>4.6</v>
      </c>
      <c r="Q29" s="63" t="n">
        <v>496</v>
      </c>
      <c r="R29" s="63" t="n">
        <v>49029</v>
      </c>
      <c r="S29" s="63"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59" t="n">
        <v>35.99</v>
      </c>
      <c r="H30" s="32" t="inlineStr">
        <is>
          <t>Helium 10 Xray, 2026-10-13</t>
        </is>
      </c>
      <c r="I30" s="60" t="n">
        <v>29.99</v>
      </c>
      <c r="J30" s="61" t="inlineStr">
        <is>
          <t>2026-03-30</t>
        </is>
      </c>
      <c r="K30" s="33" t="n">
        <v>7.799999999999997</v>
      </c>
      <c r="L30" s="62" t="n">
        <v>0.2600866955651883</v>
      </c>
      <c r="M30" s="63" t="n">
        <v>13</v>
      </c>
      <c r="N30" s="32" t="inlineStr">
        <is>
          <t>Active</t>
        </is>
      </c>
      <c r="O30" s="32" t="n"/>
      <c r="P30" s="64" t="n">
        <v>4.6</v>
      </c>
      <c r="Q30" s="63" t="n">
        <v>496</v>
      </c>
      <c r="R30" s="63" t="n">
        <v>49030</v>
      </c>
      <c r="S30" s="63"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59" t="n">
        <v>37.99</v>
      </c>
      <c r="H31" s="32" t="inlineStr">
        <is>
          <t>Helium 10 Xray, 2026-10-13</t>
        </is>
      </c>
      <c r="I31" s="60" t="n">
        <v>31.99</v>
      </c>
      <c r="J31" s="61" t="inlineStr">
        <is>
          <t>2026-03-30</t>
        </is>
      </c>
      <c r="K31" s="33" t="n">
        <v>8.449999999999996</v>
      </c>
      <c r="L31" s="62" t="n">
        <v>0.2641450453266644</v>
      </c>
      <c r="M31" s="63" t="n">
        <v>13</v>
      </c>
      <c r="N31" s="32" t="inlineStr">
        <is>
          <t>Active</t>
        </is>
      </c>
      <c r="O31" s="32" t="n"/>
      <c r="P31" s="64" t="n">
        <v>4.6</v>
      </c>
      <c r="Q31" s="63" t="n">
        <v>496</v>
      </c>
      <c r="R31" s="63" t="n">
        <v>49030</v>
      </c>
      <c r="S31" s="63"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59" t="n">
        <v>39.99</v>
      </c>
      <c r="H32" s="32" t="inlineStr">
        <is>
          <t>Helium 10 Xray, 2026-10-13</t>
        </is>
      </c>
      <c r="I32" s="60" t="n">
        <v>34.99</v>
      </c>
      <c r="J32" s="61" t="inlineStr">
        <is>
          <t>2026-03-30</t>
        </is>
      </c>
      <c r="K32" s="33" t="n">
        <v>8.870000000000003</v>
      </c>
      <c r="L32" s="62" t="n">
        <v>0.253501000285796</v>
      </c>
      <c r="M32" s="63" t="n">
        <v>12</v>
      </c>
      <c r="N32" s="32" t="inlineStr">
        <is>
          <t>Active</t>
        </is>
      </c>
      <c r="O32" s="32" t="n"/>
      <c r="P32" s="64" t="n">
        <v>4.6</v>
      </c>
      <c r="Q32" s="63" t="n">
        <v>496</v>
      </c>
      <c r="R32" s="63" t="n">
        <v>49030</v>
      </c>
      <c r="S32" s="63"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59" t="n">
        <v>37.99</v>
      </c>
      <c r="H33" s="32" t="inlineStr">
        <is>
          <t>Helium 10 Xray, 2026-10-13</t>
        </is>
      </c>
      <c r="I33" s="60" t="n">
        <v>29.99</v>
      </c>
      <c r="J33" s="61" t="inlineStr">
        <is>
          <t>2026-03-24</t>
        </is>
      </c>
      <c r="K33" s="33" t="n">
        <v>6.749999999999996</v>
      </c>
      <c r="L33" s="62" t="n">
        <v>0.225075025008336</v>
      </c>
      <c r="M33" s="63" t="n">
        <v>12</v>
      </c>
      <c r="N33" s="32" t="inlineStr">
        <is>
          <t>Active</t>
        </is>
      </c>
      <c r="O33" s="32" t="n"/>
      <c r="P33" s="64" t="n">
        <v>4.6</v>
      </c>
      <c r="Q33" s="63" t="n">
        <v>496</v>
      </c>
      <c r="R33" s="63" t="n">
        <v>49030</v>
      </c>
      <c r="S33" s="63"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59" t="n">
        <v>39.99</v>
      </c>
      <c r="H34" s="32" t="inlineStr">
        <is>
          <t>Helium 10 Xray, 2026-10-13</t>
        </is>
      </c>
      <c r="I34" s="60" t="n">
        <v>34.99</v>
      </c>
      <c r="J34" s="61" t="inlineStr">
        <is>
          <t>2026-03-30</t>
        </is>
      </c>
      <c r="K34" s="33" t="n">
        <v>9.100000000000003</v>
      </c>
      <c r="L34" s="62" t="n">
        <v>0.2600743069448415</v>
      </c>
      <c r="M34" s="63" t="n">
        <v>10</v>
      </c>
      <c r="N34" s="32" t="inlineStr">
        <is>
          <t>Active</t>
        </is>
      </c>
      <c r="O34" s="32" t="n"/>
      <c r="P34" s="64" t="n">
        <v>4.6</v>
      </c>
      <c r="Q34" s="63" t="n">
        <v>496</v>
      </c>
      <c r="R34" s="63" t="n">
        <v>49030</v>
      </c>
      <c r="S34" s="63"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59" t="n">
        <v>37.99</v>
      </c>
      <c r="H35" s="32" t="inlineStr">
        <is>
          <t>Helium 10 Xray, 2026-10-13</t>
        </is>
      </c>
      <c r="I35" s="60" t="n">
        <v>31.99</v>
      </c>
      <c r="J35" s="61" t="inlineStr">
        <is>
          <t>2026-03-30</t>
        </is>
      </c>
      <c r="K35" s="33" t="n">
        <v>8.449999999999996</v>
      </c>
      <c r="L35" s="62" t="n">
        <v>0.2641450453266644</v>
      </c>
      <c r="M35" s="63" t="n">
        <v>10</v>
      </c>
      <c r="N35" s="32" t="inlineStr">
        <is>
          <t>Active</t>
        </is>
      </c>
      <c r="O35" s="32" t="n"/>
      <c r="P35" s="64" t="n">
        <v>4.6</v>
      </c>
      <c r="Q35" s="63" t="n">
        <v>496</v>
      </c>
      <c r="R35" s="63" t="n">
        <v>49030</v>
      </c>
      <c r="S35" s="63"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59" t="n">
        <v>39.99</v>
      </c>
      <c r="H36" s="32" t="inlineStr">
        <is>
          <t>Helium 10 Xray, 2026-10-13</t>
        </is>
      </c>
      <c r="I36" s="60" t="n">
        <v>34.99</v>
      </c>
      <c r="J36" s="61" t="inlineStr">
        <is>
          <t>2026-03-30</t>
        </is>
      </c>
      <c r="K36" s="33" t="n">
        <v>8.950000000000001</v>
      </c>
      <c r="L36" s="62" t="n">
        <v>0.255787367819377</v>
      </c>
      <c r="M36" s="63" t="n">
        <v>9</v>
      </c>
      <c r="N36" s="32" t="inlineStr">
        <is>
          <t>Active</t>
        </is>
      </c>
      <c r="O36" s="32" t="n"/>
      <c r="P36" s="64" t="n">
        <v>4.6</v>
      </c>
      <c r="Q36" s="63" t="n">
        <v>496</v>
      </c>
      <c r="R36" s="63" t="n">
        <v>49030</v>
      </c>
      <c r="S36" s="63"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59" t="n">
        <v>37.99</v>
      </c>
      <c r="H37" s="32" t="inlineStr">
        <is>
          <t>Helium 10 Xray, 2026-10-13</t>
        </is>
      </c>
      <c r="I37" s="60" t="n">
        <v>31.99</v>
      </c>
      <c r="J37" s="61" t="inlineStr">
        <is>
          <t>2026-03-30</t>
        </is>
      </c>
      <c r="K37" s="33" t="n">
        <v>8.449999999999996</v>
      </c>
      <c r="L37" s="62" t="n">
        <v>0.2641450453266644</v>
      </c>
      <c r="M37" s="63" t="n">
        <v>9</v>
      </c>
      <c r="N37" s="32" t="inlineStr">
        <is>
          <t>Active</t>
        </is>
      </c>
      <c r="O37" s="32" t="n"/>
      <c r="P37" s="64" t="n">
        <v>4.6</v>
      </c>
      <c r="Q37" s="63" t="n">
        <v>496</v>
      </c>
      <c r="R37" s="63" t="n">
        <v>49030</v>
      </c>
      <c r="S37" s="63"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59" t="n">
        <v>35.99</v>
      </c>
      <c r="H38" s="32" t="inlineStr">
        <is>
          <t>Helium 10 Xray, 2026-10-13</t>
        </is>
      </c>
      <c r="I38" s="60" t="n">
        <v>29.99</v>
      </c>
      <c r="J38" s="61" t="inlineStr">
        <is>
          <t>2026-03-30</t>
        </is>
      </c>
      <c r="K38" s="33" t="n">
        <v>7.659999999999997</v>
      </c>
      <c r="L38" s="62" t="n">
        <v>0.2554184728242747</v>
      </c>
      <c r="M38" s="63" t="n">
        <v>8</v>
      </c>
      <c r="N38" s="32" t="inlineStr">
        <is>
          <t>Active</t>
        </is>
      </c>
      <c r="O38" s="32" t="n"/>
      <c r="P38" s="64" t="n">
        <v>4.6</v>
      </c>
      <c r="Q38" s="63" t="n">
        <v>496</v>
      </c>
      <c r="R38" s="63" t="n">
        <v>49030</v>
      </c>
      <c r="S38" s="63"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59" t="n">
        <v>35.99</v>
      </c>
      <c r="H39" s="32" t="inlineStr">
        <is>
          <t>Helium 10 Xray, 2026-10-13</t>
        </is>
      </c>
      <c r="I39" s="60" t="n">
        <v>29.99</v>
      </c>
      <c r="J39" s="61" t="inlineStr">
        <is>
          <t>2026-03-30</t>
        </is>
      </c>
      <c r="K39" s="33" t="n">
        <v>6.189999999999998</v>
      </c>
      <c r="L39" s="62" t="n">
        <v>0.2064021340446815</v>
      </c>
      <c r="M39" s="63" t="n">
        <v>7</v>
      </c>
      <c r="N39" s="32" t="inlineStr">
        <is>
          <t>Active</t>
        </is>
      </c>
      <c r="O39" s="32" t="n"/>
      <c r="P39" s="64" t="n">
        <v>4.6</v>
      </c>
      <c r="Q39" s="63" t="n">
        <v>496</v>
      </c>
      <c r="R39" s="63" t="n">
        <v>49030</v>
      </c>
      <c r="S39" s="63"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59" t="n">
        <v>39.99</v>
      </c>
      <c r="H40" s="32" t="inlineStr">
        <is>
          <t>Helium 10 Xray, 2026-10-13</t>
        </is>
      </c>
      <c r="I40" s="60" t="n">
        <v>35.99</v>
      </c>
      <c r="J40" s="61" t="inlineStr">
        <is>
          <t>2026-03-30</t>
        </is>
      </c>
      <c r="K40" s="33" t="n">
        <v>7.790000000000003</v>
      </c>
      <c r="L40" s="62" t="n">
        <v>0.2164490136148931</v>
      </c>
      <c r="M40" s="63" t="n">
        <v>6</v>
      </c>
      <c r="N40" s="32" t="inlineStr">
        <is>
          <t>Active</t>
        </is>
      </c>
      <c r="O40" s="32" t="n"/>
      <c r="P40" s="64" t="n">
        <v>4.6</v>
      </c>
      <c r="Q40" s="63" t="n">
        <v>496</v>
      </c>
      <c r="R40" s="63" t="n">
        <v>49029</v>
      </c>
      <c r="S40" s="63"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59" t="n">
        <v>39.99</v>
      </c>
      <c r="H41" s="32" t="inlineStr">
        <is>
          <t>Helium 10 Xray, 2026-10-13</t>
        </is>
      </c>
      <c r="I41" s="60" t="n">
        <v>35.99</v>
      </c>
      <c r="J41" s="61" t="inlineStr">
        <is>
          <t>2026-03-30</t>
        </is>
      </c>
      <c r="K41" s="33" t="n">
        <v>7.560000000000002</v>
      </c>
      <c r="L41" s="62" t="n">
        <v>0.2100583495415394</v>
      </c>
      <c r="M41" s="63" t="n">
        <v>5</v>
      </c>
      <c r="N41" s="32" t="inlineStr">
        <is>
          <t>Active</t>
        </is>
      </c>
      <c r="O41" s="32" t="n"/>
      <c r="P41" s="64" t="n">
        <v>4.6</v>
      </c>
      <c r="Q41" s="63" t="n">
        <v>496</v>
      </c>
      <c r="R41" s="63" t="n">
        <v>49030</v>
      </c>
      <c r="S41" s="63"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59" t="n">
        <v>32.99</v>
      </c>
      <c r="H42" s="32" t="inlineStr">
        <is>
          <t>Helium 10 Xray, 2026-10-13</t>
        </is>
      </c>
      <c r="I42" s="60" t="n">
        <v>26.99</v>
      </c>
      <c r="J42" s="61" t="inlineStr">
        <is>
          <t>2026-03-30</t>
        </is>
      </c>
      <c r="K42" s="33" t="n">
        <v>6.909999999999997</v>
      </c>
      <c r="L42" s="62" t="n">
        <v>0.2560207484253426</v>
      </c>
      <c r="M42" s="63" t="n">
        <v>5</v>
      </c>
      <c r="N42" s="32" t="inlineStr">
        <is>
          <t>Active</t>
        </is>
      </c>
      <c r="O42" s="32" t="n"/>
      <c r="P42" s="64" t="n">
        <v>4.6</v>
      </c>
      <c r="Q42" s="63" t="n">
        <v>496</v>
      </c>
      <c r="R42" s="63" t="n">
        <v>49030</v>
      </c>
      <c r="S42" s="63"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59" t="n">
        <v>39.99</v>
      </c>
      <c r="H43" s="32" t="inlineStr">
        <is>
          <t>Helium 10 Xray, 2026-10-13</t>
        </is>
      </c>
      <c r="I43" s="60" t="n">
        <v>35.99</v>
      </c>
      <c r="J43" s="61" t="inlineStr">
        <is>
          <t>2026-03-30</t>
        </is>
      </c>
      <c r="K43" s="33" t="n">
        <v>7.320000000000004</v>
      </c>
      <c r="L43" s="62" t="n">
        <v>0.2033898305084747</v>
      </c>
      <c r="M43" s="63" t="n">
        <v>4</v>
      </c>
      <c r="N43" s="32" t="inlineStr">
        <is>
          <t>Active</t>
        </is>
      </c>
      <c r="O43" s="32" t="n"/>
      <c r="P43" s="64" t="n">
        <v>4.6</v>
      </c>
      <c r="Q43" s="63" t="n">
        <v>496</v>
      </c>
      <c r="R43" s="63" t="n">
        <v>49030</v>
      </c>
      <c r="S43" s="63"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59" t="n">
        <v>35.99</v>
      </c>
      <c r="H44" s="32" t="inlineStr">
        <is>
          <t>Helium 10 Xray, 2026-10-13</t>
        </is>
      </c>
      <c r="I44" s="60" t="n">
        <v>29.99</v>
      </c>
      <c r="J44" s="61" t="inlineStr">
        <is>
          <t>2026-03-30</t>
        </is>
      </c>
      <c r="K44" s="33" t="n">
        <v>7.799999999999997</v>
      </c>
      <c r="L44" s="62" t="n">
        <v>0.2600866955651883</v>
      </c>
      <c r="M44" s="63" t="n">
        <v>4</v>
      </c>
      <c r="N44" s="32" t="inlineStr">
        <is>
          <t>Active</t>
        </is>
      </c>
      <c r="O44" s="32" t="n"/>
      <c r="P44" s="64" t="n">
        <v>4.6</v>
      </c>
      <c r="Q44" s="63" t="n">
        <v>496</v>
      </c>
      <c r="R44" s="63" t="n">
        <v>49030</v>
      </c>
      <c r="S44" s="63"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59" t="n">
        <v>39.99</v>
      </c>
      <c r="H45" s="32" t="inlineStr">
        <is>
          <t>Helium 10 Xray, 2026-10-13</t>
        </is>
      </c>
      <c r="I45" s="60" t="n">
        <v>35.99</v>
      </c>
      <c r="J45" s="61" t="inlineStr">
        <is>
          <t>2026-03-30</t>
        </is>
      </c>
      <c r="K45" s="33" t="n">
        <v>7.320000000000004</v>
      </c>
      <c r="L45" s="62" t="n">
        <v>0.2033898305084747</v>
      </c>
      <c r="M45" s="63" t="n">
        <v>3</v>
      </c>
      <c r="N45" s="32" t="inlineStr">
        <is>
          <t>Active</t>
        </is>
      </c>
      <c r="O45" s="32" t="n"/>
      <c r="P45" s="64" t="n">
        <v>4.6</v>
      </c>
      <c r="Q45" s="63" t="n">
        <v>496</v>
      </c>
      <c r="R45" s="63" t="n">
        <v>49029</v>
      </c>
      <c r="S45" s="63"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59" t="n">
        <v>39.99</v>
      </c>
      <c r="H46" s="32" t="inlineStr">
        <is>
          <t>Helium 10 Xray, 2026-10-13</t>
        </is>
      </c>
      <c r="I46" s="60" t="n">
        <v>35.99</v>
      </c>
      <c r="J46" s="61" t="inlineStr">
        <is>
          <t>2026-03-30</t>
        </is>
      </c>
      <c r="K46" s="33" t="n">
        <v>7.550000000000004</v>
      </c>
      <c r="L46" s="62" t="n">
        <v>0.2097804945818284</v>
      </c>
      <c r="M46" s="63" t="n">
        <v>3</v>
      </c>
      <c r="N46" s="32" t="inlineStr">
        <is>
          <t>Active</t>
        </is>
      </c>
      <c r="O46" s="32" t="n"/>
      <c r="P46" s="64" t="n">
        <v>4.6</v>
      </c>
      <c r="Q46" s="63" t="n">
        <v>496</v>
      </c>
      <c r="R46" s="63" t="n">
        <v>49030</v>
      </c>
      <c r="S46" s="63"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59" t="n">
        <v>39.99</v>
      </c>
      <c r="H47" s="32" t="inlineStr">
        <is>
          <t>Helium 10 Xray, 2026-10-13</t>
        </is>
      </c>
      <c r="I47" s="60" t="n">
        <v>35.99</v>
      </c>
      <c r="J47" s="61" t="inlineStr">
        <is>
          <t>2026-03-30</t>
        </is>
      </c>
      <c r="K47" s="33" t="n">
        <v>7.320000000000004</v>
      </c>
      <c r="L47" s="62" t="n">
        <v>0.2033898305084747</v>
      </c>
      <c r="M47" s="63" t="n">
        <v>3</v>
      </c>
      <c r="N47" s="32" t="inlineStr">
        <is>
          <t>Active</t>
        </is>
      </c>
      <c r="O47" s="32" t="n"/>
      <c r="P47" s="64" t="n">
        <v>4.6</v>
      </c>
      <c r="Q47" s="63" t="n">
        <v>496</v>
      </c>
      <c r="R47" s="63" t="n">
        <v>49030</v>
      </c>
      <c r="S47" s="63"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59" t="n">
        <v>35.99</v>
      </c>
      <c r="H48" s="32" t="inlineStr">
        <is>
          <t>Helium 10 Xray, 2026-10-13</t>
        </is>
      </c>
      <c r="I48" s="60" t="n">
        <v>29.99</v>
      </c>
      <c r="J48" s="61" t="inlineStr">
        <is>
          <t>2026-03-30</t>
        </is>
      </c>
      <c r="K48" s="33" t="n">
        <v>6.179999999999998</v>
      </c>
      <c r="L48" s="62" t="n">
        <v>0.2060686895631877</v>
      </c>
      <c r="M48" s="63" t="n">
        <v>3</v>
      </c>
      <c r="N48" s="32" t="inlineStr">
        <is>
          <t>Active</t>
        </is>
      </c>
      <c r="O48" s="32" t="n"/>
      <c r="P48" s="64" t="n">
        <v>4.6</v>
      </c>
      <c r="Q48" s="63" t="n">
        <v>496</v>
      </c>
      <c r="R48" s="63" t="n">
        <v>49030</v>
      </c>
      <c r="S48" s="63"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59" t="n">
        <v>32.99</v>
      </c>
      <c r="H49" s="32" t="inlineStr">
        <is>
          <t>Helium 10 Xray, 2026-10-13</t>
        </is>
      </c>
      <c r="I49" s="60" t="n">
        <v>26.99</v>
      </c>
      <c r="J49" s="61" t="inlineStr">
        <is>
          <t>2026-03-30</t>
        </is>
      </c>
      <c r="K49" s="33" t="n">
        <v>6.909999999999997</v>
      </c>
      <c r="L49" s="62" t="n">
        <v>0.2560207484253426</v>
      </c>
      <c r="M49" s="63" t="n">
        <v>3</v>
      </c>
      <c r="N49" s="32" t="inlineStr">
        <is>
          <t>Active</t>
        </is>
      </c>
      <c r="O49" s="32" t="n"/>
      <c r="P49" s="64" t="n">
        <v>4.6</v>
      </c>
      <c r="Q49" s="63" t="n">
        <v>496</v>
      </c>
      <c r="R49" s="63" t="n">
        <v>49030</v>
      </c>
      <c r="S49" s="63"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59" t="n">
        <v>39.99</v>
      </c>
      <c r="H50" s="32" t="inlineStr">
        <is>
          <t>Helium 10 Xray, 2026-10-13</t>
        </is>
      </c>
      <c r="I50" s="60" t="n">
        <v>35.99</v>
      </c>
      <c r="J50" s="61" t="inlineStr">
        <is>
          <t>2026-03-30</t>
        </is>
      </c>
      <c r="K50" s="33" t="n">
        <v>7.570000000000002</v>
      </c>
      <c r="L50" s="62" t="n">
        <v>0.2103362045012504</v>
      </c>
      <c r="M50" s="63" t="n">
        <v>2</v>
      </c>
      <c r="N50" s="32" t="inlineStr">
        <is>
          <t>Active</t>
        </is>
      </c>
      <c r="O50" s="32" t="n"/>
      <c r="P50" s="64" t="n">
        <v>4.6</v>
      </c>
      <c r="Q50" s="63" t="n">
        <v>496</v>
      </c>
      <c r="R50" s="63" t="n">
        <v>49030</v>
      </c>
      <c r="S50" s="63"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0" t="n">
        <v>35.99</v>
      </c>
      <c r="J51" s="61" t="inlineStr">
        <is>
          <t>2026-03-30</t>
        </is>
      </c>
      <c r="K51" s="33" t="n">
        <v>7.560000000000002</v>
      </c>
      <c r="L51" s="62" t="n">
        <v>0.2100583495415394</v>
      </c>
      <c r="M51" s="63" t="n">
        <v>1</v>
      </c>
      <c r="N51" s="32" t="inlineStr">
        <is>
          <t>Inactive</t>
        </is>
      </c>
      <c r="O51" s="32" t="n"/>
      <c r="P51" s="64" t="n"/>
      <c r="Q51" s="63" t="n"/>
      <c r="R51" s="63" t="n"/>
      <c r="S51" s="63"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59" t="n">
        <v>39.99</v>
      </c>
      <c r="H52" s="32" t="inlineStr">
        <is>
          <t>Helium 10 Xray, 2026-10-13</t>
        </is>
      </c>
      <c r="I52" s="60" t="n">
        <v>35.99</v>
      </c>
      <c r="J52" s="61" t="inlineStr">
        <is>
          <t>2026-03-30</t>
        </is>
      </c>
      <c r="K52" s="33" t="n">
        <v>7.320000000000004</v>
      </c>
      <c r="L52" s="62" t="n">
        <v>0.2033898305084747</v>
      </c>
      <c r="M52" s="63" t="n">
        <v>1</v>
      </c>
      <c r="N52" s="32" t="inlineStr">
        <is>
          <t>Active</t>
        </is>
      </c>
      <c r="O52" s="32" t="n"/>
      <c r="P52" s="64" t="n">
        <v>4.6</v>
      </c>
      <c r="Q52" s="63" t="n">
        <v>496</v>
      </c>
      <c r="R52" s="63" t="n">
        <v>49029</v>
      </c>
      <c r="S52" s="63"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0" t="n">
        <v>29.99</v>
      </c>
      <c r="J53" s="61" t="inlineStr">
        <is>
          <t>2026-03-30</t>
        </is>
      </c>
      <c r="K53" s="33" t="n">
        <v>6.179999999999998</v>
      </c>
      <c r="L53" s="62" t="n">
        <v>0.2060686895631877</v>
      </c>
      <c r="M53" s="63" t="n">
        <v>1</v>
      </c>
      <c r="N53" s="32" t="inlineStr">
        <is>
          <t>Inactive</t>
        </is>
      </c>
      <c r="O53" s="32" t="n"/>
      <c r="P53" s="64" t="n"/>
      <c r="Q53" s="63" t="n"/>
      <c r="R53" s="63" t="n"/>
      <c r="S53" s="63"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0" t="n">
        <v>29.99</v>
      </c>
      <c r="J54" s="61" t="inlineStr">
        <is>
          <t>2026-03-30</t>
        </is>
      </c>
      <c r="K54" s="33" t="n">
        <v>6.169999999999998</v>
      </c>
      <c r="L54" s="62" t="n">
        <v>0.2057352450816939</v>
      </c>
      <c r="M54" s="63" t="n">
        <v>1</v>
      </c>
      <c r="N54" s="32" t="inlineStr">
        <is>
          <t>Inactive</t>
        </is>
      </c>
      <c r="O54" s="32" t="n"/>
      <c r="P54" s="64" t="n"/>
      <c r="Q54" s="63" t="n"/>
      <c r="R54" s="63" t="n"/>
      <c r="S54" s="63"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59" t="n">
        <v>39.99</v>
      </c>
      <c r="H55" s="32" t="inlineStr">
        <is>
          <t>Helium 10 Xray, 2026-10-13</t>
        </is>
      </c>
      <c r="I55" s="60" t="n">
        <v>34.99</v>
      </c>
      <c r="J55" s="61" t="inlineStr">
        <is>
          <t>2026-03-30</t>
        </is>
      </c>
      <c r="K55" s="33" t="n">
        <v>9.180000000000001</v>
      </c>
      <c r="L55" s="62" t="n">
        <v>0.2623606744784224</v>
      </c>
      <c r="M55" s="63" t="n">
        <v>1</v>
      </c>
      <c r="N55" s="32" t="inlineStr">
        <is>
          <t>Active</t>
        </is>
      </c>
      <c r="O55" s="32" t="n"/>
      <c r="P55" s="64" t="n">
        <v>4.6</v>
      </c>
      <c r="Q55" s="63" t="n">
        <v>496</v>
      </c>
      <c r="R55" s="63" t="n">
        <v>49030</v>
      </c>
      <c r="S55" s="63"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0" t="n">
        <v>26.99</v>
      </c>
      <c r="J56" s="61" t="inlineStr">
        <is>
          <t>2026-03-30</t>
        </is>
      </c>
      <c r="K56" s="33" t="n">
        <v>6.929999999999996</v>
      </c>
      <c r="L56" s="62" t="n">
        <v>0.256761763616154</v>
      </c>
      <c r="M56" s="63" t="n">
        <v>1</v>
      </c>
      <c r="N56" s="32" t="inlineStr">
        <is>
          <t>Inactive</t>
        </is>
      </c>
      <c r="O56" s="32" t="n"/>
      <c r="P56" s="64" t="n"/>
      <c r="Q56" s="63" t="n"/>
      <c r="R56" s="63" t="n"/>
      <c r="S56" s="63"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0" t="n">
        <v>35.99</v>
      </c>
      <c r="J57" s="61" t="inlineStr">
        <is>
          <t>2026-03-30</t>
        </is>
      </c>
      <c r="K57" s="33" t="n">
        <v>7.320000000000004</v>
      </c>
      <c r="L57" s="62" t="n">
        <v>0.2033898305084747</v>
      </c>
      <c r="M57" s="63" t="n">
        <v>0</v>
      </c>
      <c r="N57" s="32" t="inlineStr">
        <is>
          <t>Inactive</t>
        </is>
      </c>
      <c r="O57" s="32" t="n"/>
      <c r="P57" s="64" t="n"/>
      <c r="Q57" s="63" t="n"/>
      <c r="R57" s="63" t="n"/>
      <c r="S57" s="63"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0" t="n">
        <v>35.99</v>
      </c>
      <c r="J58" s="61" t="inlineStr">
        <is>
          <t>2026-03-30</t>
        </is>
      </c>
      <c r="K58" s="33" t="n">
        <v>7.550000000000002</v>
      </c>
      <c r="L58" s="62" t="n">
        <v>0.2097804945818283</v>
      </c>
      <c r="M58" s="63" t="n"/>
      <c r="N58" s="32" t="inlineStr">
        <is>
          <t>Inactive</t>
        </is>
      </c>
      <c r="O58" s="32" t="n"/>
      <c r="P58" s="64" t="n"/>
      <c r="Q58" s="63" t="n"/>
      <c r="R58" s="63" t="n"/>
      <c r="S58" s="63"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59" t="n">
        <v>39.99</v>
      </c>
      <c r="H59" s="32" t="inlineStr">
        <is>
          <t>Helium 10 Xray, 2026-10-13</t>
        </is>
      </c>
      <c r="I59" s="60" t="n">
        <v>35.99</v>
      </c>
      <c r="J59" s="61" t="inlineStr">
        <is>
          <t>2026-03-30</t>
        </is>
      </c>
      <c r="K59" s="33" t="n">
        <v>7.320000000000004</v>
      </c>
      <c r="L59" s="62" t="n">
        <v>0.2033898305084747</v>
      </c>
      <c r="M59" s="63" t="n">
        <v>0</v>
      </c>
      <c r="N59" s="32" t="inlineStr">
        <is>
          <t>Active</t>
        </is>
      </c>
      <c r="O59" s="32" t="n"/>
      <c r="P59" s="64" t="n">
        <v>4.6</v>
      </c>
      <c r="Q59" s="63" t="n">
        <v>496</v>
      </c>
      <c r="R59" s="63" t="n">
        <v>49030</v>
      </c>
      <c r="S59" s="63"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59" t="n">
        <v>39.99</v>
      </c>
      <c r="H60" s="32" t="inlineStr">
        <is>
          <t>Helium 10 Xray, 2026-10-13</t>
        </is>
      </c>
      <c r="I60" s="60" t="n">
        <v>35.99</v>
      </c>
      <c r="J60" s="61" t="inlineStr">
        <is>
          <t>2026-03-30</t>
        </is>
      </c>
      <c r="K60" s="33" t="n">
        <v>7.700000000000005</v>
      </c>
      <c r="L60" s="62" t="n">
        <v>0.2139483189774939</v>
      </c>
      <c r="M60" s="63" t="n">
        <v>0</v>
      </c>
      <c r="N60" s="32" t="inlineStr">
        <is>
          <t>Active</t>
        </is>
      </c>
      <c r="O60" s="32" t="n"/>
      <c r="P60" s="64" t="n">
        <v>4.6</v>
      </c>
      <c r="Q60" s="63" t="n">
        <v>496</v>
      </c>
      <c r="R60" s="63" t="n">
        <v>49029</v>
      </c>
      <c r="S60" s="63"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0" t="n">
        <v>29.99</v>
      </c>
      <c r="J61" s="61" t="inlineStr">
        <is>
          <t>2026-03-30</t>
        </is>
      </c>
      <c r="K61" s="33" t="n">
        <v>6.179999999999998</v>
      </c>
      <c r="L61" s="62" t="n">
        <v>0.2060686895631877</v>
      </c>
      <c r="M61" s="63" t="n"/>
      <c r="N61" s="32" t="inlineStr">
        <is>
          <t>Inactive</t>
        </is>
      </c>
      <c r="O61" s="32" t="n"/>
      <c r="P61" s="64" t="n"/>
      <c r="Q61" s="63" t="n"/>
      <c r="R61" s="63" t="n"/>
      <c r="S61" s="63"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0" t="n">
        <v>29.99</v>
      </c>
      <c r="J62" s="61" t="inlineStr">
        <is>
          <t>2026-03-30</t>
        </is>
      </c>
      <c r="K62" s="33" t="n">
        <v>6.179999999999998</v>
      </c>
      <c r="L62" s="62" t="n">
        <v>0.2060686895631877</v>
      </c>
      <c r="M62" s="63" t="n"/>
      <c r="N62" s="32" t="inlineStr">
        <is>
          <t>Inactive</t>
        </is>
      </c>
      <c r="O62" s="32" t="n"/>
      <c r="P62" s="64" t="n"/>
      <c r="Q62" s="63" t="n"/>
      <c r="R62" s="63" t="n"/>
      <c r="S62" s="63"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0" t="n">
        <v>29.99</v>
      </c>
      <c r="J63" s="61" t="inlineStr">
        <is>
          <t>2026-03-30</t>
        </is>
      </c>
      <c r="K63" s="33" t="n">
        <v>6.199999999999998</v>
      </c>
      <c r="L63" s="62" t="n">
        <v>0.2067355785261754</v>
      </c>
      <c r="M63" s="63" t="n"/>
      <c r="N63" s="32" t="inlineStr">
        <is>
          <t>Inactive</t>
        </is>
      </c>
      <c r="O63" s="32" t="n"/>
      <c r="P63" s="64" t="n"/>
      <c r="Q63" s="63" t="n"/>
      <c r="R63" s="63" t="n"/>
      <c r="S63" s="63"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0" t="n">
        <v>29.99</v>
      </c>
      <c r="J64" s="61" t="inlineStr">
        <is>
          <t>2026-03-30</t>
        </is>
      </c>
      <c r="K64" s="33" t="n">
        <v>6.179999999999998</v>
      </c>
      <c r="L64" s="62" t="n">
        <v>0.2060686895631877</v>
      </c>
      <c r="M64" s="63" t="n"/>
      <c r="N64" s="32" t="inlineStr">
        <is>
          <t>Inactive</t>
        </is>
      </c>
      <c r="O64" s="32" t="n"/>
      <c r="P64" s="64" t="n"/>
      <c r="Q64" s="63" t="n"/>
      <c r="R64" s="63" t="n"/>
      <c r="S64" s="63"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0" t="n">
        <v>29.99</v>
      </c>
      <c r="J65" s="61" t="inlineStr">
        <is>
          <t>2026-03-30</t>
        </is>
      </c>
      <c r="K65" s="33" t="n">
        <v>6.179999999999998</v>
      </c>
      <c r="L65" s="62" t="n">
        <v>0.2060686895631877</v>
      </c>
      <c r="M65" s="63" t="n"/>
      <c r="N65" s="32" t="inlineStr">
        <is>
          <t>Inactive</t>
        </is>
      </c>
      <c r="O65" s="32" t="n"/>
      <c r="P65" s="64" t="n"/>
      <c r="Q65" s="63" t="n"/>
      <c r="R65" s="63" t="n"/>
      <c r="S65" s="63"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0" t="n">
        <v>29.99</v>
      </c>
      <c r="J66" s="61" t="inlineStr">
        <is>
          <t>2026-03-30</t>
        </is>
      </c>
      <c r="K66" s="33" t="n">
        <v>6.189999999999998</v>
      </c>
      <c r="L66" s="62" t="n">
        <v>0.2064021340446815</v>
      </c>
      <c r="M66" s="63" t="n"/>
      <c r="N66" s="32" t="inlineStr">
        <is>
          <t>Inactive</t>
        </is>
      </c>
      <c r="O66" s="32" t="n"/>
      <c r="P66" s="64" t="n"/>
      <c r="Q66" s="63" t="n"/>
      <c r="R66" s="63" t="n"/>
      <c r="S66" s="63"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2" t="n"/>
      <c r="M67" s="63" t="n"/>
      <c r="N67" s="32" t="inlineStr">
        <is>
          <t>Inactive</t>
        </is>
      </c>
      <c r="O67" s="32" t="n"/>
      <c r="P67" s="64" t="n"/>
      <c r="Q67" s="63" t="n"/>
      <c r="R67" s="63" t="n"/>
      <c r="S67" s="63"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0" t="n">
        <v>34.99</v>
      </c>
      <c r="J68" s="61" t="inlineStr">
        <is>
          <t>2026-03-30</t>
        </is>
      </c>
      <c r="K68" s="33" t="n">
        <v>6.950000000000003</v>
      </c>
      <c r="L68" s="62" t="n">
        <v>0.1986281794798515</v>
      </c>
      <c r="M68" s="63" t="n"/>
      <c r="N68" s="32" t="inlineStr">
        <is>
          <t>Inactive</t>
        </is>
      </c>
      <c r="O68" s="32" t="n"/>
      <c r="P68" s="64" t="n"/>
      <c r="Q68" s="63" t="n"/>
      <c r="R68" s="63" t="n"/>
      <c r="S68" s="63"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59" t="n">
        <v>39.99</v>
      </c>
      <c r="H69" s="32" t="inlineStr">
        <is>
          <t>Helium 10 Xray, 2026-10-13</t>
        </is>
      </c>
      <c r="I69" s="60" t="n">
        <v>34.99</v>
      </c>
      <c r="J69" s="61" t="inlineStr">
        <is>
          <t>2026-03-30</t>
        </is>
      </c>
      <c r="K69" s="33" t="n">
        <v>8.870000000000003</v>
      </c>
      <c r="L69" s="62" t="n">
        <v>0.253501000285796</v>
      </c>
      <c r="M69" s="63" t="n">
        <v>0</v>
      </c>
      <c r="N69" s="32" t="inlineStr">
        <is>
          <t>Active</t>
        </is>
      </c>
      <c r="O69" s="32" t="n"/>
      <c r="P69" s="64" t="n">
        <v>4.6</v>
      </c>
      <c r="Q69" s="63" t="n">
        <v>496</v>
      </c>
      <c r="R69" s="63" t="n">
        <v>49030</v>
      </c>
      <c r="S69" s="63"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0" t="n">
        <v>31.99</v>
      </c>
      <c r="J70" s="61" t="inlineStr">
        <is>
          <t>2026-03-30</t>
        </is>
      </c>
      <c r="K70" s="33" t="n">
        <v>6.659999999999997</v>
      </c>
      <c r="L70" s="62" t="n">
        <v>0.2081900593935604</v>
      </c>
      <c r="M70" s="63" t="n">
        <v>0</v>
      </c>
      <c r="N70" s="32" t="inlineStr">
        <is>
          <t>Inactive</t>
        </is>
      </c>
      <c r="O70" s="32" t="n"/>
      <c r="P70" s="64" t="n"/>
      <c r="Q70" s="63" t="n"/>
      <c r="R70" s="63" t="n"/>
      <c r="S70" s="63"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0" t="n">
        <v>31.99</v>
      </c>
      <c r="J71" s="61" t="inlineStr">
        <is>
          <t>2026-03-30</t>
        </is>
      </c>
      <c r="K71" s="33" t="n">
        <v>6.649999999999997</v>
      </c>
      <c r="L71" s="62" t="n">
        <v>0.2078774617067833</v>
      </c>
      <c r="M71" s="63" t="n"/>
      <c r="N71" s="32" t="inlineStr">
        <is>
          <t>Inactive</t>
        </is>
      </c>
      <c r="O71" s="32" t="n"/>
      <c r="P71" s="64" t="n"/>
      <c r="Q71" s="63" t="n"/>
      <c r="R71" s="63" t="n"/>
      <c r="S71" s="63"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0" t="n">
        <v>31.99</v>
      </c>
      <c r="J72" s="61" t="inlineStr">
        <is>
          <t>2026-03-30</t>
        </is>
      </c>
      <c r="K72" s="33" t="n">
        <v>6.649999999999997</v>
      </c>
      <c r="L72" s="62" t="n">
        <v>0.2078774617067833</v>
      </c>
      <c r="M72" s="63" t="n"/>
      <c r="N72" s="32" t="inlineStr">
        <is>
          <t>Inactive</t>
        </is>
      </c>
      <c r="O72" s="32" t="n"/>
      <c r="P72" s="64" t="n"/>
      <c r="Q72" s="63" t="n"/>
      <c r="R72" s="63" t="n"/>
      <c r="S72" s="63"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0" t="n">
        <v>26.99</v>
      </c>
      <c r="J73" s="61" t="inlineStr">
        <is>
          <t>2026-03-30</t>
        </is>
      </c>
      <c r="K73" s="33" t="n">
        <v>5.609999999999998</v>
      </c>
      <c r="L73" s="62" t="n">
        <v>0.2078547610226009</v>
      </c>
      <c r="M73" s="63" t="n"/>
      <c r="N73" s="32" t="inlineStr">
        <is>
          <t>Inactive</t>
        </is>
      </c>
      <c r="O73" s="32" t="n"/>
      <c r="P73" s="64" t="n"/>
      <c r="Q73" s="63" t="n"/>
      <c r="R73" s="63" t="n"/>
      <c r="S73" s="63"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0" t="n">
        <v>26.99</v>
      </c>
      <c r="J74" s="61" t="inlineStr">
        <is>
          <t>2026-03-30</t>
        </is>
      </c>
      <c r="K74" s="33" t="n">
        <v>5.609999999999998</v>
      </c>
      <c r="L74" s="62" t="n">
        <v>0.2078547610226009</v>
      </c>
      <c r="M74" s="63" t="n"/>
      <c r="N74" s="32" t="inlineStr">
        <is>
          <t>Inactive</t>
        </is>
      </c>
      <c r="O74" s="32" t="n"/>
      <c r="P74" s="64" t="n"/>
      <c r="Q74" s="63" t="n"/>
      <c r="R74" s="63" t="n"/>
      <c r="S74" s="63"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0" t="n">
        <v>26.99</v>
      </c>
      <c r="J75" s="61" t="inlineStr">
        <is>
          <t>2026-03-30</t>
        </is>
      </c>
      <c r="K75" s="33" t="n">
        <v>6.909999999999997</v>
      </c>
      <c r="L75" s="62" t="n">
        <v>0.2560207484253426</v>
      </c>
      <c r="M75" s="63" t="n"/>
      <c r="N75" s="32" t="inlineStr">
        <is>
          <t>Inactive</t>
        </is>
      </c>
      <c r="O75" s="32" t="n"/>
      <c r="P75" s="64" t="n"/>
      <c r="Q75" s="63" t="n"/>
      <c r="R75" s="63" t="n"/>
      <c r="S75" s="63"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0" t="n">
        <v>26.99</v>
      </c>
      <c r="J76" s="61" t="inlineStr">
        <is>
          <t>2026-03-30</t>
        </is>
      </c>
      <c r="K76" s="33" t="n">
        <v>6.909999999999997</v>
      </c>
      <c r="L76" s="62" t="n">
        <v>0.2560207484253426</v>
      </c>
      <c r="M76" s="63" t="n"/>
      <c r="N76" s="32" t="inlineStr">
        <is>
          <t>Inactive</t>
        </is>
      </c>
      <c r="O76" s="32" t="n"/>
      <c r="P76" s="64" t="n"/>
      <c r="Q76" s="63" t="n"/>
      <c r="R76" s="63" t="n"/>
      <c r="S76" s="63"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0" t="n">
        <v>26.99</v>
      </c>
      <c r="J77" s="61" t="inlineStr">
        <is>
          <t>2026-03-30</t>
        </is>
      </c>
      <c r="K77" s="33" t="n">
        <v>6.909999999999997</v>
      </c>
      <c r="L77" s="62" t="n">
        <v>0.2560207484253426</v>
      </c>
      <c r="M77" s="63" t="n"/>
      <c r="N77" s="32" t="inlineStr">
        <is>
          <t>Inactive</t>
        </is>
      </c>
      <c r="O77" s="32" t="n"/>
      <c r="P77" s="64" t="n"/>
      <c r="Q77" s="63" t="n"/>
      <c r="R77" s="63" t="n"/>
      <c r="S77" s="63"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59" t="n">
        <v>32.99</v>
      </c>
      <c r="H78" s="32" t="inlineStr">
        <is>
          <t>Helium 10 Xray, 2026-10-13</t>
        </is>
      </c>
      <c r="I78" s="60" t="n">
        <v>26.99</v>
      </c>
      <c r="J78" s="61" t="inlineStr">
        <is>
          <t>2026-03-30</t>
        </is>
      </c>
      <c r="K78" s="33" t="n">
        <v>6.909999999999997</v>
      </c>
      <c r="L78" s="62" t="n">
        <v>0.2560207484253426</v>
      </c>
      <c r="M78" s="63" t="n">
        <v>0</v>
      </c>
      <c r="N78" s="32" t="inlineStr">
        <is>
          <t>Active</t>
        </is>
      </c>
      <c r="O78" s="32" t="n"/>
      <c r="P78" s="64" t="n">
        <v>4.6</v>
      </c>
      <c r="Q78" s="63" t="n">
        <v>496</v>
      </c>
      <c r="R78" s="63" t="n">
        <v>49030</v>
      </c>
      <c r="S78" s="63"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0" t="n">
        <v>26.99</v>
      </c>
      <c r="J79" s="61" t="inlineStr">
        <is>
          <t>2026-03-30</t>
        </is>
      </c>
      <c r="K79" s="33" t="n">
        <v>6.909999999999997</v>
      </c>
      <c r="L79" s="62" t="n">
        <v>0.2560207484253426</v>
      </c>
      <c r="M79" s="63" t="n"/>
      <c r="N79" s="32" t="inlineStr">
        <is>
          <t>Inactive</t>
        </is>
      </c>
      <c r="O79" s="32" t="n"/>
      <c r="P79" s="64" t="n"/>
      <c r="Q79" s="63" t="n"/>
      <c r="R79" s="63" t="n"/>
      <c r="S79" s="63"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0" t="n">
        <v>26.99</v>
      </c>
      <c r="J80" s="61" t="inlineStr">
        <is>
          <t>2026-03-30</t>
        </is>
      </c>
      <c r="K80" s="33" t="n">
        <v>6.909999999999997</v>
      </c>
      <c r="L80" s="62" t="n">
        <v>0.2560207484253426</v>
      </c>
      <c r="M80" s="63" t="n"/>
      <c r="N80" s="32" t="inlineStr">
        <is>
          <t>Inactive</t>
        </is>
      </c>
      <c r="O80" s="32" t="n"/>
      <c r="P80" s="64" t="n"/>
      <c r="Q80" s="63" t="n"/>
      <c r="R80" s="63" t="n"/>
      <c r="S80" s="63"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0" t="n">
        <v>26.99</v>
      </c>
      <c r="J81" s="61" t="inlineStr">
        <is>
          <t>2026-03-30</t>
        </is>
      </c>
      <c r="K81" s="33" t="n">
        <v>6.909999999999997</v>
      </c>
      <c r="L81" s="62" t="n">
        <v>0.2560207484253426</v>
      </c>
      <c r="M81" s="63" t="n"/>
      <c r="N81" s="32" t="inlineStr">
        <is>
          <t>Inactive</t>
        </is>
      </c>
      <c r="O81" s="32" t="n"/>
      <c r="P81" s="64" t="n"/>
      <c r="Q81" s="63" t="n"/>
      <c r="R81" s="63" t="n"/>
      <c r="S81" s="63"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59" t="n">
        <v>32.99</v>
      </c>
      <c r="H82" s="32" t="inlineStr">
        <is>
          <t>Helium 10 Xray, 2026-10-13</t>
        </is>
      </c>
      <c r="I82" s="60" t="n">
        <v>26.99</v>
      </c>
      <c r="J82" s="61" t="inlineStr">
        <is>
          <t>2026-03-30</t>
        </is>
      </c>
      <c r="K82" s="33" t="n">
        <v>6.909999999999997</v>
      </c>
      <c r="L82" s="62" t="n">
        <v>0.2560207484253426</v>
      </c>
      <c r="M82" s="63" t="n">
        <v>0</v>
      </c>
      <c r="N82" s="32" t="inlineStr">
        <is>
          <t>Active</t>
        </is>
      </c>
      <c r="O82" s="32" t="n"/>
      <c r="P82" s="64" t="n">
        <v>4.6</v>
      </c>
      <c r="Q82" s="63" t="n">
        <v>496</v>
      </c>
      <c r="R82" s="63" t="n">
        <v>49030</v>
      </c>
      <c r="S82" s="63" t="n">
        <v>27</v>
      </c>
      <c r="T82" s="32" t="n"/>
    </row>
    <row r="84" ht="20" customHeight="1">
      <c r="A84" s="53" t="inlineStr">
        <is>
          <t>3 · OUR BFCM 2025 RESULT &amp; EVENT VISIBILITY</t>
        </is>
      </c>
    </row>
    <row r="85">
      <c r="A85" s="66" t="inlineStr">
        <is>
          <t>Window</t>
        </is>
      </c>
      <c r="B85" s="67" t="n"/>
      <c r="C85" s="68" t="n"/>
      <c r="D85" s="66" t="inlineStr">
        <is>
          <t>Ad spend</t>
        </is>
      </c>
      <c r="E85" s="66" t="inlineStr">
        <is>
          <t>Ad sales</t>
        </is>
      </c>
      <c r="F85" s="66" t="inlineStr">
        <is>
          <t>ACoS</t>
        </is>
      </c>
      <c r="G85" s="66" t="inlineStr">
        <is>
          <t>TACoS</t>
        </is>
      </c>
      <c r="H85" s="66" t="inlineStr">
        <is>
          <t>Total sales (derived)</t>
        </is>
      </c>
      <c r="J85" s="66" t="inlineStr">
        <is>
          <t>Ad orders</t>
        </is>
      </c>
      <c r="K85" s="66" t="inlineStr">
        <is>
          <t>CVR</t>
        </is>
      </c>
    </row>
    <row r="86">
      <c r="A86" s="69" t="inlineStr">
        <is>
          <t>Pre-event Oct 21 - Nov 19, 2025 (30d)</t>
        </is>
      </c>
      <c r="B86" s="67" t="n"/>
      <c r="C86" s="68" t="n"/>
      <c r="D86" s="70" t="n">
        <v>0</v>
      </c>
      <c r="E86" s="70" t="n">
        <v>0</v>
      </c>
      <c r="F86" s="71" t="n"/>
      <c r="G86" s="71" t="n">
        <v>0</v>
      </c>
      <c r="H86" s="70" t="n"/>
      <c r="J86" s="72" t="n">
        <v>0</v>
      </c>
      <c r="K86" s="73" t="n"/>
    </row>
    <row r="87">
      <c r="A87" s="69" t="inlineStr">
        <is>
          <t>BFCM week Nov 20 - Dec 1, 2025 (12d)</t>
        </is>
      </c>
      <c r="B87" s="67" t="n"/>
      <c r="C87" s="68" t="n"/>
      <c r="D87" s="70" t="n">
        <v>0</v>
      </c>
      <c r="E87" s="70" t="n">
        <v>0</v>
      </c>
      <c r="F87" s="71" t="n"/>
      <c r="G87" s="71" t="n">
        <v>0</v>
      </c>
      <c r="H87" s="70" t="n"/>
      <c r="J87" s="72" t="n">
        <v>0</v>
      </c>
      <c r="K87" s="73" t="n"/>
    </row>
    <row r="88">
      <c r="A88" s="69" t="inlineStr">
        <is>
          <t>December 2 - 31, 2025 (30d)</t>
        </is>
      </c>
      <c r="B88" s="67" t="n"/>
      <c r="C88" s="68" t="n"/>
      <c r="D88" s="70" t="n">
        <v>0</v>
      </c>
      <c r="E88" s="70" t="n">
        <v>0</v>
      </c>
      <c r="F88" s="71" t="n"/>
      <c r="G88" s="71" t="n">
        <v>0</v>
      </c>
      <c r="H88" s="70" t="n"/>
      <c r="J88" s="72" t="n">
        <v>0</v>
      </c>
      <c r="K88" s="73" t="n"/>
    </row>
    <row r="90">
      <c r="A90" s="66" t="inlineStr">
        <is>
          <t>Actual sales (SellerBoard)</t>
        </is>
      </c>
      <c r="B90" s="67" t="n"/>
      <c r="C90" s="68" t="n"/>
      <c r="D90" s="66" t="inlineStr">
        <is>
          <t>Sales</t>
        </is>
      </c>
      <c r="E90" s="66" t="inlineStr">
        <is>
          <t>Units</t>
        </is>
      </c>
      <c r="F90" s="66" t="inlineStr">
        <is>
          <t>Organic units</t>
        </is>
      </c>
      <c r="G90" s="66" t="inlineStr">
        <is>
          <t>Ad units</t>
        </is>
      </c>
      <c r="H90" s="66" t="inlineStr">
        <is>
          <t>Ad cost</t>
        </is>
      </c>
      <c r="J90" s="66" t="inlineStr">
        <is>
          <t>TACoS (actual)</t>
        </is>
      </c>
      <c r="K90" s="66" t="inlineStr">
        <is>
          <t>Sessions</t>
        </is>
      </c>
      <c r="L90" s="66" t="inlineStr">
        <is>
          <t>Unit session %</t>
        </is>
      </c>
      <c r="M90" s="66" t="inlineStr">
        <is>
          <t>Avg price</t>
        </is>
      </c>
      <c r="N90" s="66" t="inlineStr">
        <is>
          <t>Refunds</t>
        </is>
      </c>
    </row>
    <row r="91">
      <c r="A91" s="69" t="inlineStr">
        <is>
          <t>Pre-event Oct 21 - Nov 19, 2025 (30d)</t>
        </is>
      </c>
      <c r="B91" s="67" t="n"/>
      <c r="C91" s="68" t="n"/>
      <c r="D91" s="70" t="n">
        <v>6199.32</v>
      </c>
      <c r="E91" s="72" t="n">
        <v>269</v>
      </c>
      <c r="F91" s="72" t="n">
        <v>269</v>
      </c>
      <c r="G91" s="72" t="n">
        <v>0</v>
      </c>
      <c r="H91" s="70" t="n">
        <v>0</v>
      </c>
      <c r="J91" s="74" t="n">
        <v>0</v>
      </c>
      <c r="K91" s="72" t="n">
        <v>3758</v>
      </c>
      <c r="L91" s="74" t="n">
        <v>0.07158062799361363</v>
      </c>
      <c r="M91" s="75" t="n">
        <v>23.04579925650557</v>
      </c>
      <c r="N91" s="72" t="n">
        <v>5</v>
      </c>
    </row>
    <row r="92">
      <c r="A92" s="69" t="inlineStr">
        <is>
          <t>BFCM week Nov 20 - Dec 1, 2025 (12d)</t>
        </is>
      </c>
      <c r="B92" s="67" t="n"/>
      <c r="C92" s="68" t="n"/>
      <c r="D92" s="70" t="n">
        <v>2436.98</v>
      </c>
      <c r="E92" s="72" t="n">
        <v>102</v>
      </c>
      <c r="F92" s="72" t="n">
        <v>102</v>
      </c>
      <c r="G92" s="72" t="n">
        <v>0</v>
      </c>
      <c r="H92" s="70" t="n">
        <v>0</v>
      </c>
      <c r="J92" s="74" t="n">
        <v>0</v>
      </c>
      <c r="K92" s="72" t="n">
        <v>753</v>
      </c>
      <c r="L92" s="74" t="n">
        <v>0.1354581673306773</v>
      </c>
      <c r="M92" s="75" t="n">
        <v>23.89196078431372</v>
      </c>
      <c r="N92" s="72" t="n">
        <v>2</v>
      </c>
    </row>
    <row r="93">
      <c r="A93" s="69" t="inlineStr">
        <is>
          <t>December 2 - 31, 2025 (30d)</t>
        </is>
      </c>
      <c r="B93" s="67" t="n"/>
      <c r="C93" s="68" t="n"/>
      <c r="D93" s="70" t="n">
        <v>8842.280000000001</v>
      </c>
      <c r="E93" s="72" t="n">
        <v>373</v>
      </c>
      <c r="F93" s="72" t="n">
        <v>373</v>
      </c>
      <c r="G93" s="72" t="n">
        <v>0</v>
      </c>
      <c r="H93" s="70" t="n">
        <v>0</v>
      </c>
      <c r="J93" s="74" t="n">
        <v>0</v>
      </c>
      <c r="K93" s="72" t="n">
        <v>2737</v>
      </c>
      <c r="L93" s="74" t="n">
        <v>0.1362805991962002</v>
      </c>
      <c r="M93" s="75" t="n">
        <v>23.70584450402145</v>
      </c>
      <c r="N93" s="72" t="n">
        <v>14</v>
      </c>
    </row>
    <row r="94">
      <c r="A94" s="58" t="inlineStr">
        <is>
          <t>SellerBoard, Ecotero account, Amazon parent B0GR6GBJYC plus any of this product's child ASINs SellerBoard lists on their own, UTC days. Lift above uses these actual sales.</t>
        </is>
      </c>
    </row>
    <row r="95" ht="18" customHeight="1">
      <c r="A95" s="77" t="inlineStr">
        <is>
          <t>BFCM 2026 plan (BM, Oct 15, 2026): Lightning Deal 11/25 (Best Deal requested: Lightning Deal Nov 25 cancelled in Seller Central while a Best Deal is pursued; if not granted it is rescheduled as a Lightning Deal (Umair Tahir, Oct 13)). Deal price and depth not yet given; not yet visible in Amazon's deal feed.</t>
        </is>
      </c>
    </row>
    <row r="96" ht="30" customHeight="1">
      <c r="A96" s="78" t="inlineStr">
        <is>
          <t>BFCM deal status (Slack): Nov 25 Lightning Deal cancelled in Seller Central while a Best Deal is pursued; if not granted it is rescheduled as a Lightning Deal. [Umair Tahir, #bfcm-2026, 2026-10-13]</t>
        </is>
      </c>
    </row>
    <row r="97" ht="18" customHeight="1">
      <c r="A97" s="79" t="inlineStr">
        <is>
          <t>ASSUMED 2026 deal prices, until BM's final: B0F7M3YQ5R today $39.99; $33.99 at 15% off (Nov 19-26) and $31.99 at 20% off (Nov 27-30 (Black Friday to Cyber Monday)). Rule: Umair Tahir via Shayan Rana, Oct 15, 2026. Evidence: our BFCM 2025 deal on B0F7M3YQ5R (US, Keepa): $24.99 before, $24.99 during, 0% off; US competitors' median price cut in BFCM 2025: 17% (2 rivals). Amazon may use a lower reference price than today's (it sets it the day before the deal), which would lower the deal price.</t>
        </is>
      </c>
    </row>
    <row r="98" ht="30" customHeight="1">
      <c r="A98" s="76"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9" ht="40" customHeight="1">
      <c r="A99" s="76"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0">
      <c r="A100" s="58" t="inlineStr">
        <is>
          <t>Command Center visibility for our best child B0F7M3YQ5R: organic score None before BFCM 2025 → None in BFCM week; Prime Day 2026 0.0 → 0.0; Aug-Sep 2026 30.2.</t>
        </is>
      </c>
    </row>
    <row r="102" ht="20" customHeight="1">
      <c r="A102" s="53" t="inlineStr">
        <is>
          <t>4 · COMPETITOR LANDSCAPE (11 mapped)</t>
        </is>
      </c>
    </row>
    <row r="103">
      <c r="A103" s="58"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39.99</v>
      </c>
      <c r="P106" s="92">
        <f>IF(AND(ISNUMBER(K106),ISNUMBER(O106),N(O106)&gt;0),K106/O106-1,"")</f>
        <v/>
      </c>
      <c r="Q106" s="32" t="inlineStr">
        <is>
          <t>Same size (King). Ours live: Helium 10 Xray, 2026-10-13; 10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372</v>
      </c>
      <c r="AK106" s="88" t="n">
        <v>56</v>
      </c>
      <c r="AL106" s="88" t="n">
        <v>287</v>
      </c>
      <c r="AM106" s="88" t="n">
        <v>7911</v>
      </c>
      <c r="AN106" s="88" t="n">
        <v>3797</v>
      </c>
      <c r="AO106" s="88" t="n">
        <v>16</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_xlfn.IMAGE("https://images-na.ssl-images-amazon.com/images/I/81suQgVR0GL.jpg")</f>
        <v/>
      </c>
      <c r="B107" s="86" t="inlineStr">
        <is>
          <t>Bedsure</t>
        </is>
      </c>
      <c r="C107" s="32" t="inlineStr">
        <is>
          <t>Bedsure PureWoven Organically Grown Bamboo Viscose Queen Sheet Set, 4PCS</t>
        </is>
      </c>
      <c r="D107" s="86" t="inlineStr">
        <is>
          <t>Beatable</t>
        </is>
      </c>
      <c r="E107" s="87" t="inlineStr">
        <is>
          <t>B0FB8XS4D1</t>
        </is>
      </c>
      <c r="F107" s="87" t="inlineStr">
        <is>
          <t>B0FB8XR43Q</t>
        </is>
      </c>
      <c r="G107" s="86" t="inlineStr">
        <is>
          <t>Queen</t>
        </is>
      </c>
      <c r="H107" s="86" t="inlineStr">
        <is>
          <t>01 - White</t>
        </is>
      </c>
      <c r="I107" s="88" t="n">
        <v>39</v>
      </c>
      <c r="J107" s="32" t="inlineStr">
        <is>
          <t>B0FB8XR43Q (31%), B0FB8ZTD7M (18%), B0GLN6VP9Y (11%), B0FB8YV6C7 (10%), B0FB8Z4GGW (10%)</t>
        </is>
      </c>
      <c r="K107" s="89" t="n">
        <v>89.98999999999999</v>
      </c>
      <c r="L107" s="89" t="n">
        <v>119.99</v>
      </c>
      <c r="M107" s="90">
        <f>IF(AND(ISNUMBER(L107),ISNUMBER(K107),N(K107)&gt;0),L107/K107-1,"")</f>
        <v/>
      </c>
      <c r="N107" s="91">
        <f>IF(M107="","No List Price",IF(M107&lt;=0,"At/below price",IF(M107&lt;=0.12,"&lt;=12% STR zone",IF(M107&lt;=0.25,"12-25%","&gt;25% over"))))</f>
        <v/>
      </c>
      <c r="O107" s="89" t="n">
        <v>37.99</v>
      </c>
      <c r="P107" s="92">
        <f>IF(AND(ISNUMBER(K107),ISNUMBER(O107),N(O107)&gt;0),K107/O107-1,"")</f>
        <v/>
      </c>
      <c r="Q107" s="32" t="inlineStr">
        <is>
          <t>Same size (Queen). Ours live: Helium 10 Xray, 2026-10-13; 10 children</t>
        </is>
      </c>
      <c r="R107" s="88" t="n">
        <v>8938</v>
      </c>
      <c r="S107" s="88" t="n">
        <v>104</v>
      </c>
      <c r="T107" s="93">
        <f>IF(AND(ISNUMBER(K107),ISNUMBER(S107)),K107*S107*52/12,"")</f>
        <v/>
      </c>
      <c r="U107" s="94" t="n">
        <v>4.5</v>
      </c>
      <c r="V107" s="88" t="n">
        <v>588</v>
      </c>
      <c r="W107" s="95" t="n">
        <v>46307</v>
      </c>
      <c r="X107" s="95" t="n">
        <v>45936</v>
      </c>
      <c r="Y107" s="86" t="inlineStr">
        <is>
          <t>FBA</t>
        </is>
      </c>
      <c r="Z107" s="86" t="inlineStr">
        <is>
          <t>US</t>
        </is>
      </c>
      <c r="AA107" s="88" t="n">
        <v>840292</v>
      </c>
      <c r="AB107" s="88" t="n">
        <v>3961</v>
      </c>
      <c r="AC107" s="96" t="n">
        <v>0.1404099194089678</v>
      </c>
      <c r="AD107" s="96" t="n">
        <v>0.8595901834124341</v>
      </c>
      <c r="AE107" s="32" t="inlineStr">
        <is>
          <t>bamboo sheets</t>
        </is>
      </c>
      <c r="AF107" s="96" t="n">
        <v>0.9284082199997143</v>
      </c>
      <c r="AG107" s="96" t="n">
        <v>0.9843340172225845</v>
      </c>
      <c r="AH107" s="96" t="n">
        <v>0.5269953777972419</v>
      </c>
      <c r="AI107" s="96" t="n">
        <v>0.000478405125837209</v>
      </c>
      <c r="AJ107" s="88" t="n">
        <v>348</v>
      </c>
      <c r="AK107" s="88" t="n">
        <v>58</v>
      </c>
      <c r="AL107" s="88" t="n">
        <v>268</v>
      </c>
      <c r="AM107" s="88" t="n">
        <v>3613</v>
      </c>
      <c r="AN107" s="88" t="n">
        <v>2465</v>
      </c>
      <c r="AO107" s="88" t="n">
        <v>18</v>
      </c>
      <c r="AP107" s="97" t="n">
        <v>1.764832022873481</v>
      </c>
      <c r="AQ107" s="92" t="n">
        <v>-0.09047044632086854</v>
      </c>
      <c r="AR107" s="98" t="inlineStr">
        <is>
          <t>Y</t>
        </is>
      </c>
      <c r="AS107" s="98" t="inlineStr">
        <is>
          <t>List Price</t>
        </is>
      </c>
      <c r="AT107" s="99" t="n">
        <v>119.99</v>
      </c>
      <c r="AU107" s="99" t="n">
        <v>89.98999999999999</v>
      </c>
      <c r="AV107" s="98" t="inlineStr">
        <is>
          <t>none</t>
        </is>
      </c>
      <c r="AW107" s="98" t="inlineStr">
        <is>
          <t>Y</t>
        </is>
      </c>
      <c r="AX107" s="98" t="inlineStr">
        <is>
          <t>2026-10-13 12:10:38</t>
        </is>
      </c>
      <c r="AY107" s="100" t="inlineStr">
        <is>
          <t>Prime Exclusive Discount</t>
        </is>
      </c>
      <c r="AZ107" s="100" t="inlineStr">
        <is>
          <t>11-10 to 12-05</t>
        </is>
      </c>
      <c r="BA107" s="101" t="n">
        <v>99.98999999999999</v>
      </c>
      <c r="BB107" s="101" t="n">
        <v>72.64</v>
      </c>
      <c r="BC107" s="90">
        <f>IF(AND(ISNUMBER(BA107),ISNUMBER(BB107),N(BA107)&gt;0),1-BB107/BA107,"")</f>
        <v/>
      </c>
      <c r="BD107" s="102" t="n">
        <v>53160</v>
      </c>
      <c r="BE107" s="102" t="n">
        <v>53782</v>
      </c>
      <c r="BF107" s="103">
        <f>IF(AND(ISNUMBER(BD107),ISNUMBER(BE107),N(BE107)&gt;0),BD107/BE107,"")</f>
        <v/>
      </c>
      <c r="BG107" s="100" t="inlineStr">
        <is>
          <t>N</t>
        </is>
      </c>
      <c r="BH107" s="100" t="inlineStr">
        <is>
          <t>Prime Exclusive already running before BFCM week; List Price $114.99</t>
        </is>
      </c>
    </row>
    <row r="108" ht="62" customHeight="1">
      <c r="A108" s="10">
        <f>_xlfn.IMAGE("https://images-na.ssl-images-amazon.com/images/I/81UgXZwkGpL.jpg")</f>
        <v/>
      </c>
      <c r="B108" s="86" t="inlineStr">
        <is>
          <t>Zaizaihome</t>
        </is>
      </c>
      <c r="C108" s="32" t="inlineStr">
        <is>
          <t>Bamboo Viscose Cooling Fitted Sheet King Size Only</t>
        </is>
      </c>
      <c r="D108" s="86" t="inlineStr">
        <is>
          <t>Beatable</t>
        </is>
      </c>
      <c r="E108" s="87" t="inlineStr">
        <is>
          <t>B0CXPDKH51</t>
        </is>
      </c>
      <c r="F108" s="87" t="inlineStr">
        <is>
          <t>B0CXPKK5DD</t>
        </is>
      </c>
      <c r="G108" s="86" t="inlineStr">
        <is>
          <t>King</t>
        </is>
      </c>
      <c r="H108" s="86" t="inlineStr">
        <is>
          <t>Dark Grey</t>
        </is>
      </c>
      <c r="I108" s="88" t="n">
        <v>79</v>
      </c>
      <c r="J108" s="32" t="inlineStr">
        <is>
          <t>B0CXPB1BGB (23%), B0CXNY88FM (22%), B0CXPKK5DD (18%), B0D9RVK2M1 (15%), B0CXPL68WG (10%)</t>
        </is>
      </c>
      <c r="K108" s="89" t="n">
        <v>29.99</v>
      </c>
      <c r="L108" s="89" t="n"/>
      <c r="M108" s="90">
        <f>IF(AND(ISNUMBER(L108),ISNUMBER(K108),N(K108)&gt;0),L108/K108-1,"")</f>
        <v/>
      </c>
      <c r="N108" s="91">
        <f>IF(M108="","No List Price",IF(M108&lt;=0,"At/below price",IF(M108&lt;=0.12,"&lt;=12% STR zone",IF(M108&lt;=0.25,"12-25%","&gt;25% over"))))</f>
        <v/>
      </c>
      <c r="O108" s="89" t="n">
        <v>39.99</v>
      </c>
      <c r="P108" s="92">
        <f>IF(AND(ISNUMBER(K108),ISNUMBER(O108),N(O108)&gt;0),K108/O108-1,"")</f>
        <v/>
      </c>
      <c r="Q108" s="32" t="inlineStr">
        <is>
          <t>Same size (King). Ours live: Helium 10 Xray, 2026-10-13; 10 children</t>
        </is>
      </c>
      <c r="R108" s="88" t="n">
        <v>9600</v>
      </c>
      <c r="S108" s="88" t="n">
        <v>81</v>
      </c>
      <c r="T108" s="93">
        <f>IF(AND(ISNUMBER(K108),ISNUMBER(S108)),K108*S108*52/12,"")</f>
        <v/>
      </c>
      <c r="U108" s="94" t="n">
        <v>4.3</v>
      </c>
      <c r="V108" s="88" t="n">
        <v>1029</v>
      </c>
      <c r="W108" s="95" t="n">
        <v>46307</v>
      </c>
      <c r="X108" s="95" t="n">
        <v>45362</v>
      </c>
      <c r="Y108" s="86" t="inlineStr">
        <is>
          <t>FBA</t>
        </is>
      </c>
      <c r="Z108" s="86" t="inlineStr">
        <is>
          <t>CN</t>
        </is>
      </c>
      <c r="AA108" s="88" t="n">
        <v>80454</v>
      </c>
      <c r="AB108" s="88" t="n">
        <v>892</v>
      </c>
      <c r="AC108" s="96" t="n">
        <v>0.9934371106470778</v>
      </c>
      <c r="AD108" s="96" t="n">
        <v>0.006562889352922167</v>
      </c>
      <c r="AE108" s="32" t="inlineStr">
        <is>
          <t>bamboo sheets</t>
        </is>
      </c>
      <c r="AF108" s="96" t="n">
        <v>0.05738682974121859</v>
      </c>
      <c r="AG108" s="96" t="n"/>
      <c r="AH108" s="96" t="n"/>
      <c r="AI108" s="96" t="n">
        <v>0.1354811445049345</v>
      </c>
      <c r="AJ108" s="88" t="n">
        <v>274</v>
      </c>
      <c r="AK108" s="88" t="n">
        <v>39</v>
      </c>
      <c r="AL108" s="88" t="n">
        <v>214</v>
      </c>
      <c r="AM108" s="88" t="n">
        <v>618</v>
      </c>
      <c r="AN108" s="88" t="n">
        <v>39</v>
      </c>
      <c r="AO108" s="88" t="n">
        <v>0</v>
      </c>
      <c r="AP108" s="97" t="n">
        <v>0.9810017271157168</v>
      </c>
      <c r="AQ108" s="92" t="n">
        <v>-0.07202680067001677</v>
      </c>
      <c r="AR108" s="98" t="inlineStr">
        <is>
          <t>N</t>
        </is>
      </c>
      <c r="AS108" s="98" t="inlineStr">
        <is>
          <t>none</t>
        </is>
      </c>
      <c r="AT108" s="104" t="n"/>
      <c r="AU108" s="99" t="n">
        <v>29.99</v>
      </c>
      <c r="AV108" s="98" t="inlineStr">
        <is>
          <t>none</t>
        </is>
      </c>
      <c r="AW108" s="98" t="inlineStr">
        <is>
          <t>Y</t>
        </is>
      </c>
      <c r="AX108" s="98" t="inlineStr">
        <is>
          <t>2026-10-13 23:37:12</t>
        </is>
      </c>
      <c r="AY108" s="100" t="inlineStr">
        <is>
          <t>Prime Exclusive Discount</t>
        </is>
      </c>
      <c r="AZ108" s="100" t="inlineStr">
        <is>
          <t>11-26 to 12-01</t>
        </is>
      </c>
      <c r="BA108" s="101" t="n">
        <v>27.59</v>
      </c>
      <c r="BB108" s="101" t="n">
        <v>23.69</v>
      </c>
      <c r="BC108" s="90">
        <f>IF(AND(ISNUMBER(BA108),ISNUMBER(BB108),N(BA108)&gt;0),1-BB108/BA108,"")</f>
        <v/>
      </c>
      <c r="BD108" s="102" t="n">
        <v>20417</v>
      </c>
      <c r="BE108" s="102" t="n">
        <v>21270</v>
      </c>
      <c r="BF108" s="103">
        <f>IF(AND(ISNUMBER(BD108),ISNUMBER(BE108),N(BE108)&gt;0),BD108/BE108,"")</f>
        <v/>
      </c>
      <c r="BG108" s="100" t="inlineStr">
        <is>
          <t>N</t>
        </is>
      </c>
      <c r="BH108" s="100" t="inlineStr">
        <is>
          <t>Buy Box RAISED in BFCM week (median $29.99 vs $27.59 before); List Price $29.99</t>
        </is>
      </c>
    </row>
    <row r="109" ht="62" customHeight="1">
      <c r="A109" s="10">
        <f>_xlfn.IMAGE("https://images-na.ssl-images-amazon.com/images/I/81OVUx9lkCL.jpg")</f>
        <v/>
      </c>
      <c r="B109" s="86" t="inlineStr">
        <is>
          <t>Bedsure</t>
        </is>
      </c>
      <c r="C109" s="32" t="inlineStr">
        <is>
          <t>Bedsure PureWoven Queen Fitted Sheet Qnly, 100% Rayon Derived from Bamboo</t>
        </is>
      </c>
      <c r="D109" s="86" t="inlineStr">
        <is>
          <t>Beatable</t>
        </is>
      </c>
      <c r="E109" s="87" t="inlineStr">
        <is>
          <t>B0FW3SSM8K</t>
        </is>
      </c>
      <c r="F109" s="87" t="inlineStr">
        <is>
          <t>B0FW38KM4S</t>
        </is>
      </c>
      <c r="G109" s="86" t="inlineStr">
        <is>
          <t>Queen (1 PC)</t>
        </is>
      </c>
      <c r="H109" s="86" t="inlineStr">
        <is>
          <t>01 - Grey</t>
        </is>
      </c>
      <c r="I109" s="88" t="n">
        <v>24</v>
      </c>
      <c r="J109" s="32" t="inlineStr">
        <is>
          <t>B0FW38KM4S (53%), B0FVX8LSVV (17%), B0FW3WF617 (12%)</t>
        </is>
      </c>
      <c r="K109" s="89" t="n">
        <v>44.99</v>
      </c>
      <c r="L109" s="89" t="n"/>
      <c r="M109" s="90">
        <f>IF(AND(ISNUMBER(L109),ISNUMBER(K109),N(K109)&gt;0),L109/K109-1,"")</f>
        <v/>
      </c>
      <c r="N109" s="91">
        <f>IF(M109="","No List Price",IF(M109&lt;=0,"At/below price",IF(M109&lt;=0.12,"&lt;=12% STR zone",IF(M109&lt;=0.25,"12-25%","&gt;25% over"))))</f>
        <v/>
      </c>
      <c r="O109" s="89" t="n">
        <v>33.22586744639376</v>
      </c>
      <c r="P109" s="92">
        <f>IF(AND(ISNUMBER(K109),ISNUMBER(O109),N(O109)&gt;0),K109/O109-1,"")</f>
        <v/>
      </c>
      <c r="Q109" s="32" t="inlineStr">
        <is>
          <t>vs our blended price (Command Center, Mar 2026 - STALE)</t>
        </is>
      </c>
      <c r="R109" s="88" t="n">
        <v>19075</v>
      </c>
      <c r="S109" s="88" t="n">
        <v>81</v>
      </c>
      <c r="T109" s="93">
        <f>IF(AND(ISNUMBER(K109),ISNUMBER(S109)),K109*S109*52/12,"")</f>
        <v/>
      </c>
      <c r="U109" s="94" t="n">
        <v>4.4</v>
      </c>
      <c r="V109" s="88" t="n">
        <v>168</v>
      </c>
      <c r="W109" s="95" t="n">
        <v>46307</v>
      </c>
      <c r="X109" s="95" t="n">
        <v>46069</v>
      </c>
      <c r="Y109" s="86" t="inlineStr">
        <is>
          <t>FBA</t>
        </is>
      </c>
      <c r="Z109" s="86" t="inlineStr">
        <is>
          <t>US</t>
        </is>
      </c>
      <c r="AA109" s="88" t="n">
        <v>95724</v>
      </c>
      <c r="AB109" s="88" t="n">
        <v>951</v>
      </c>
      <c r="AC109" s="96" t="n">
        <v>0.3728984204588193</v>
      </c>
      <c r="AD109" s="96" t="n">
        <v>0.6271016129706236</v>
      </c>
      <c r="AE109" s="32" t="inlineStr">
        <is>
          <t>fitted sheet queen</t>
        </is>
      </c>
      <c r="AF109" s="96" t="n">
        <v>0.7297856336968785</v>
      </c>
      <c r="AG109" s="96" t="n">
        <v>0.5296686306464419</v>
      </c>
      <c r="AH109" s="96" t="n"/>
      <c r="AI109" s="96" t="n">
        <v>0.02295140194726505</v>
      </c>
      <c r="AJ109" s="88" t="n">
        <v>319</v>
      </c>
      <c r="AK109" s="88" t="n">
        <v>56</v>
      </c>
      <c r="AL109" s="88" t="n">
        <v>240</v>
      </c>
      <c r="AM109" s="88" t="n">
        <v>632</v>
      </c>
      <c r="AN109" s="88" t="n">
        <v>438</v>
      </c>
      <c r="AO109" s="88" t="n">
        <v>12</v>
      </c>
      <c r="AP109" s="97" t="n">
        <v>1.177319587628866</v>
      </c>
      <c r="AQ109" s="92" t="n">
        <v>0.0270270270270272</v>
      </c>
      <c r="AR109" s="98" t="inlineStr">
        <is>
          <t>Y</t>
        </is>
      </c>
      <c r="AS109" s="98" t="inlineStr">
        <is>
          <t>List Price</t>
        </is>
      </c>
      <c r="AT109" s="99" t="n">
        <v>49.99</v>
      </c>
      <c r="AU109" s="99" t="n">
        <v>44.99</v>
      </c>
      <c r="AV109" s="98" t="inlineStr">
        <is>
          <t>none</t>
        </is>
      </c>
      <c r="AW109" s="98" t="inlineStr">
        <is>
          <t>Y</t>
        </is>
      </c>
      <c r="AX109" s="98" t="inlineStr">
        <is>
          <t>2026-10-13 23:35:19</t>
        </is>
      </c>
      <c r="AY109" s="100" t="inlineStr">
        <is>
          <t>Not live in 2025</t>
        </is>
      </c>
      <c r="AZ109" s="105" t="n"/>
      <c r="BA109" s="104" t="n"/>
      <c r="BB109" s="104" t="n"/>
      <c r="BC109" s="90">
        <f>IF(AND(ISNUMBER(BA109),ISNUMBER(BB109),N(BA109)&gt;0),1-BB109/BA109,"")</f>
        <v/>
      </c>
      <c r="BD109" s="106" t="n"/>
      <c r="BE109" s="106" t="n"/>
      <c r="BF109" s="103">
        <f>IF(AND(ISNUMBER(BD109),ISNUMBER(BE109),N(BE109)&gt;0),BD109/BE109,"")</f>
        <v/>
      </c>
      <c r="BG109" s="105" t="n"/>
      <c r="BH109" s="105" t="n"/>
    </row>
    <row r="110" ht="62" customHeight="1">
      <c r="A110" s="10">
        <f>_xlfn.IMAGE("https://m.media-amazon.com/images/I/61L1TXtZ28L._AC_SL1500_.jpg")</f>
        <v/>
      </c>
      <c r="B110" s="86" t="inlineStr">
        <is>
          <t>REST</t>
        </is>
      </c>
      <c r="C110" s="32" t="inlineStr">
        <is>
          <t>REST® Evercool®+ Fitted Sheet, Full Size, Light Blue, 15" Deep (up to 18’’), Bre</t>
        </is>
      </c>
      <c r="D110" s="86" t="inlineStr">
        <is>
          <t>Beatable</t>
        </is>
      </c>
      <c r="E110" s="87" t="inlineStr">
        <is>
          <t>B0C14HFDS1</t>
        </is>
      </c>
      <c r="F110" s="87" t="inlineStr">
        <is>
          <t>B0D4Y6RKLL</t>
        </is>
      </c>
      <c r="G110" s="86" t="inlineStr">
        <is>
          <t>King</t>
        </is>
      </c>
      <c r="H110" s="86" t="inlineStr">
        <is>
          <t>Arctic White</t>
        </is>
      </c>
      <c r="I110" s="88" t="n">
        <v>36</v>
      </c>
      <c r="J110" s="32" t="inlineStr">
        <is>
          <t>B0BW997FWC (40%), B0BW995YFQ (25%), B0C14BKYXL (10%), B0C14BV615 (10%)</t>
        </is>
      </c>
      <c r="K110" s="89" t="n">
        <v>111.2</v>
      </c>
      <c r="L110" s="89" t="n">
        <v>139</v>
      </c>
      <c r="M110" s="90">
        <f>IF(AND(ISNUMBER(L110),ISNUMBER(K110),N(K110)&gt;0),L110/K110-1,"")</f>
        <v/>
      </c>
      <c r="N110" s="91">
        <f>IF(M110="","No List Price",IF(M110&lt;=0,"At/below price",IF(M110&lt;=0.12,"&lt;=12% STR zone",IF(M110&lt;=0.25,"12-25%","&gt;25% over"))))</f>
        <v/>
      </c>
      <c r="O110" s="89" t="n">
        <v>39.99</v>
      </c>
      <c r="P110" s="92">
        <f>IF(AND(ISNUMBER(K110),ISNUMBER(O110),N(O110)&gt;0),K110/O110-1,"")</f>
        <v/>
      </c>
      <c r="Q110" s="32" t="inlineStr">
        <is>
          <t>Same size (King). Ours live: Helium 10 Xray, 2026-10-13; 10 children</t>
        </is>
      </c>
      <c r="R110" s="88" t="n">
        <v>22651</v>
      </c>
      <c r="S110" s="88" t="n">
        <v>35</v>
      </c>
      <c r="T110" s="93">
        <f>IF(AND(ISNUMBER(K110),ISNUMBER(S110)),K110*S110*52/12,"")</f>
        <v/>
      </c>
      <c r="U110" s="94" t="n">
        <v>4.4</v>
      </c>
      <c r="V110" s="88" t="n">
        <v>663</v>
      </c>
      <c r="W110" s="95" t="n">
        <v>46307</v>
      </c>
      <c r="X110" s="95" t="n"/>
      <c r="Y110" s="86" t="n"/>
      <c r="Z110" s="86" t="n"/>
      <c r="AA110" s="88" t="n">
        <v>110996</v>
      </c>
      <c r="AB110" s="88" t="n">
        <v>2646</v>
      </c>
      <c r="AC110" s="96" t="n">
        <v>0.5327084201232477</v>
      </c>
      <c r="AD110" s="96" t="n">
        <v>0.4672916087066201</v>
      </c>
      <c r="AE110" s="32" t="inlineStr">
        <is>
          <t>sheets</t>
        </is>
      </c>
      <c r="AF110" s="96" t="n">
        <v>0.6569516018595265</v>
      </c>
      <c r="AG110" s="96" t="n">
        <v>0.6046073732386753</v>
      </c>
      <c r="AH110" s="96" t="n"/>
      <c r="AI110" s="96" t="n">
        <v>0.009036361670690836</v>
      </c>
      <c r="AJ110" s="88" t="n">
        <v>256</v>
      </c>
      <c r="AK110" s="88" t="n">
        <v>102</v>
      </c>
      <c r="AL110" s="88" t="n">
        <v>119</v>
      </c>
      <c r="AM110" s="88" t="n">
        <v>2390</v>
      </c>
      <c r="AN110" s="88" t="n">
        <v>766</v>
      </c>
      <c r="AO110" s="88" t="n">
        <v>6</v>
      </c>
      <c r="AP110" s="97" t="n"/>
      <c r="AQ110" s="92" t="n"/>
      <c r="AR110" s="98" t="inlineStr">
        <is>
          <t>Y</t>
        </is>
      </c>
      <c r="AS110" s="98" t="inlineStr">
        <is>
          <t>List Price</t>
        </is>
      </c>
      <c r="AT110" s="99" t="n">
        <v>139</v>
      </c>
      <c r="AU110" s="99" t="n">
        <v>111.2</v>
      </c>
      <c r="AV110" s="98" t="inlineStr">
        <is>
          <t>none</t>
        </is>
      </c>
      <c r="AW110" s="98" t="inlineStr">
        <is>
          <t>Y</t>
        </is>
      </c>
      <c r="AX110" s="98" t="inlineStr">
        <is>
          <t>2026-10-13 23:36:46</t>
        </is>
      </c>
      <c r="AY110" s="100" t="inlineStr">
        <is>
          <t>Price cut only</t>
        </is>
      </c>
      <c r="AZ110" s="100" t="inlineStr">
        <is>
          <t>11-20 to 12-01</t>
        </is>
      </c>
      <c r="BA110" s="101" t="n">
        <v>111.2</v>
      </c>
      <c r="BB110" s="101" t="n">
        <v>104.25</v>
      </c>
      <c r="BC110" s="90">
        <f>IF(AND(ISNUMBER(BA110),ISNUMBER(BB110),N(BA110)&gt;0),1-BB110/BA110,"")</f>
        <v/>
      </c>
      <c r="BD110" s="102" t="n">
        <v>60121</v>
      </c>
      <c r="BE110" s="102" t="n">
        <v>38546</v>
      </c>
      <c r="BF110" s="103">
        <f>IF(AND(ISNUMBER(BD110),ISNUMBER(BE110),N(BE110)&gt;0),BD110/BE110,"")</f>
        <v/>
      </c>
      <c r="BG110" s="100" t="inlineStr">
        <is>
          <t>N</t>
        </is>
      </c>
      <c r="BH110" s="100" t="inlineStr">
        <is>
          <t>Lightning Deal 11-09 to 11-10; List Price $139.00</t>
        </is>
      </c>
    </row>
    <row r="111" ht="62" customHeight="1">
      <c r="A111" s="10">
        <f>_xlfn.IMAGE("https://m.media-amazon.com/images/I/71EKXfc2t8L._AC_SL1500_.jpg")</f>
        <v/>
      </c>
      <c r="B111" s="86" t="inlineStr">
        <is>
          <t>Cozy Bliss</t>
        </is>
      </c>
      <c r="C111" s="32" t="inlineStr">
        <is>
          <t>Cooling Fitted Sheet</t>
        </is>
      </c>
      <c r="D111" s="86" t="inlineStr">
        <is>
          <t>Beatable</t>
        </is>
      </c>
      <c r="E111" s="87" t="inlineStr">
        <is>
          <t>B0DT14Y4VJ</t>
        </is>
      </c>
      <c r="F111" s="87" t="inlineStr">
        <is>
          <t>B0DMNMPVJP</t>
        </is>
      </c>
      <c r="G111" s="86" t="inlineStr">
        <is>
          <t>Queen(no Flat Sheet)</t>
        </is>
      </c>
      <c r="H111" s="86" t="inlineStr">
        <is>
          <t>Cool Blue</t>
        </is>
      </c>
      <c r="I111" s="88" t="n">
        <v>23</v>
      </c>
      <c r="J111" s="32" t="inlineStr">
        <is>
          <t>B0DMNPF218 (54%), B0DMNQDZNB (21%), B0GFDTCKDD (9%)</t>
        </is>
      </c>
      <c r="K111" s="89" t="n">
        <v>74.98999999999999</v>
      </c>
      <c r="L111" s="89" t="n"/>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100300</v>
      </c>
      <c r="S111" s="88" t="n">
        <v>5</v>
      </c>
      <c r="T111" s="93">
        <f>IF(AND(ISNUMBER(K111),ISNUMBER(S111)),K111*S111*52/12,"")</f>
        <v/>
      </c>
      <c r="U111" s="94" t="n">
        <v>4.5</v>
      </c>
      <c r="V111" s="88" t="n">
        <v>456</v>
      </c>
      <c r="W111" s="95" t="n">
        <v>46307</v>
      </c>
      <c r="X111" s="95" t="n"/>
      <c r="Y111" s="86" t="n"/>
      <c r="Z111" s="86" t="n"/>
      <c r="AA111" s="88" t="n">
        <v>14965</v>
      </c>
      <c r="AB111" s="88" t="n">
        <v>410</v>
      </c>
      <c r="AC111" s="96" t="n">
        <v>0.8178404944871368</v>
      </c>
      <c r="AD111" s="96" t="n">
        <v>0.1821595055128634</v>
      </c>
      <c r="AE111" s="32" t="inlineStr">
        <is>
          <t>cooling sheets</t>
        </is>
      </c>
      <c r="AF111" s="96" t="n">
        <v>0.307584363514868</v>
      </c>
      <c r="AG111" s="96" t="n"/>
      <c r="AH111" s="96" t="n">
        <v>0.6962245238890745</v>
      </c>
      <c r="AI111" s="96" t="n">
        <v>0.03200801871032409</v>
      </c>
      <c r="AJ111" s="88" t="n">
        <v>138</v>
      </c>
      <c r="AK111" s="88" t="n">
        <v>83</v>
      </c>
      <c r="AL111" s="88" t="n">
        <v>29</v>
      </c>
      <c r="AM111" s="88" t="n">
        <v>272</v>
      </c>
      <c r="AN111" s="88" t="n">
        <v>67</v>
      </c>
      <c r="AO111" s="88" t="n">
        <v>2</v>
      </c>
      <c r="AP111" s="97" t="n"/>
      <c r="AQ111" s="92" t="n"/>
      <c r="AR111" s="98" t="inlineStr">
        <is>
          <t>N</t>
        </is>
      </c>
      <c r="AS111" s="98" t="inlineStr">
        <is>
          <t>none</t>
        </is>
      </c>
      <c r="AT111" s="104" t="n"/>
      <c r="AU111" s="99" t="n">
        <v>74.98999999999999</v>
      </c>
      <c r="AV111" s="98" t="inlineStr">
        <is>
          <t>none</t>
        </is>
      </c>
      <c r="AW111" s="98" t="inlineStr">
        <is>
          <t>Y</t>
        </is>
      </c>
      <c r="AX111" s="98" t="inlineStr">
        <is>
          <t>2026-10-13 23:36:02</t>
        </is>
      </c>
      <c r="AY111" s="105" t="n"/>
      <c r="AZ111" s="105" t="n"/>
      <c r="BA111" s="104" t="n"/>
      <c r="BB111" s="104" t="n"/>
      <c r="BC111" s="90">
        <f>IF(AND(ISNUMBER(BA111),ISNUMBER(BB111),N(BA111)&gt;0),1-BB111/BA111,"")</f>
        <v/>
      </c>
      <c r="BD111" s="102" t="n">
        <v>144127</v>
      </c>
      <c r="BE111" s="102" t="n">
        <v>128889</v>
      </c>
      <c r="BF111" s="103">
        <f>IF(AND(ISNUMBER(BD111),ISNUMBER(BE111),N(BE111)&gt;0),BD111/BE111,"")</f>
        <v/>
      </c>
      <c r="BG111" s="100" t="inlineStr">
        <is>
          <t>Y</t>
        </is>
      </c>
      <c r="BH111" s="100" t="inlineStr">
        <is>
          <t>No Buy Box history in Keepa for BFCM 2025; List Price $89.99</t>
        </is>
      </c>
    </row>
    <row r="112" ht="62" customHeight="1">
      <c r="A112" s="10">
        <f>_xlfn.IMAGE("https://m.media-amazon.com/images/I/818EX2hLSoL._AC_SL1500_.jpg")</f>
        <v/>
      </c>
      <c r="B112" s="86" t="inlineStr">
        <is>
          <t>OMERAI</t>
        </is>
      </c>
      <c r="C112" s="32" t="inlineStr">
        <is>
          <t>Cooling Sheets</t>
        </is>
      </c>
      <c r="D112" s="86" t="inlineStr">
        <is>
          <t>Beatable</t>
        </is>
      </c>
      <c r="E112" s="87" t="inlineStr">
        <is>
          <t>B0HDC7BMTC</t>
        </is>
      </c>
      <c r="F112" s="87" t="inlineStr">
        <is>
          <t>B0FX8K1CG9</t>
        </is>
      </c>
      <c r="G112" s="86" t="inlineStr">
        <is>
          <t>King 4 PC</t>
        </is>
      </c>
      <c r="H112" s="86" t="inlineStr">
        <is>
          <t>Blue</t>
        </is>
      </c>
      <c r="I112" s="88" t="n">
        <v>10</v>
      </c>
      <c r="J112" s="32" t="inlineStr">
        <is>
          <t>B0BM9K24ST (46%), B0BM9GLKYV (43%)</t>
        </is>
      </c>
      <c r="K112" s="89" t="n">
        <v>42.99</v>
      </c>
      <c r="L112" s="89" t="n">
        <v>59.99</v>
      </c>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115669</v>
      </c>
      <c r="S112" s="88" t="n">
        <v>5</v>
      </c>
      <c r="T112" s="93">
        <f>IF(AND(ISNUMBER(K112),ISNUMBER(S112)),K112*S112*52/12,"")</f>
        <v/>
      </c>
      <c r="U112" s="94" t="n">
        <v>4.7</v>
      </c>
      <c r="V112" s="88" t="n">
        <v>4</v>
      </c>
      <c r="W112" s="95" t="n">
        <v>46307</v>
      </c>
      <c r="X112" s="95" t="n"/>
      <c r="Y112" s="86" t="n"/>
      <c r="Z112" s="86" t="n"/>
      <c r="AA112" s="88" t="n">
        <v>13712</v>
      </c>
      <c r="AB112" s="88" t="n">
        <v>332</v>
      </c>
      <c r="AC112" s="96" t="n">
        <v>0.8852072199533255</v>
      </c>
      <c r="AD112" s="96" t="n">
        <v>0.1147927800466745</v>
      </c>
      <c r="AE112" s="32" t="inlineStr">
        <is>
          <t>cooling sheets queen</t>
        </is>
      </c>
      <c r="AF112" s="96" t="n">
        <v>0.8668319719953326</v>
      </c>
      <c r="AG112" s="96" t="n"/>
      <c r="AH112" s="96" t="n"/>
      <c r="AI112" s="96" t="n"/>
      <c r="AJ112" s="88" t="n">
        <v>113</v>
      </c>
      <c r="AK112" s="88" t="n">
        <v>40</v>
      </c>
      <c r="AL112" s="88" t="n">
        <v>65</v>
      </c>
      <c r="AM112" s="88" t="n">
        <v>219</v>
      </c>
      <c r="AN112" s="88" t="n">
        <v>56</v>
      </c>
      <c r="AO112" s="88" t="n">
        <v>6</v>
      </c>
      <c r="AP112" s="97" t="n"/>
      <c r="AQ112" s="92" t="n"/>
      <c r="AR112" s="98" t="inlineStr">
        <is>
          <t>Y</t>
        </is>
      </c>
      <c r="AS112" s="98" t="inlineStr">
        <is>
          <t>List Price</t>
        </is>
      </c>
      <c r="AT112" s="99" t="n">
        <v>59.99</v>
      </c>
      <c r="AU112" s="99" t="n">
        <v>42.99</v>
      </c>
      <c r="AV112" s="98" t="inlineStr">
        <is>
          <t>coupon 20%</t>
        </is>
      </c>
      <c r="AW112" s="98" t="inlineStr">
        <is>
          <t>Y</t>
        </is>
      </c>
      <c r="AX112" s="98" t="inlineStr">
        <is>
          <t>2026-10-13 12:12:04</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_xlfn.IMAGE("https://m.media-amazon.com/images/I/81X83saQSpL._AC_SL1500_.jpg")</f>
        <v/>
      </c>
      <c r="B113" s="86" t="inlineStr">
        <is>
          <t>Bedsure</t>
        </is>
      </c>
      <c r="C113" s="32" t="inlineStr">
        <is>
          <t>Cooling Fitted Sheet</t>
        </is>
      </c>
      <c r="D113" s="86" t="inlineStr">
        <is>
          <t>Poor</t>
        </is>
      </c>
      <c r="E113" s="87" t="inlineStr">
        <is>
          <t>B0GNMKSLRZ</t>
        </is>
      </c>
      <c r="F113" s="87" t="inlineStr">
        <is>
          <t>B0FQPCYCVQ</t>
        </is>
      </c>
      <c r="G113" s="86" t="inlineStr">
        <is>
          <t>King (78x80+16)</t>
        </is>
      </c>
      <c r="H113" s="86" t="inlineStr">
        <is>
          <t>04 - Blue</t>
        </is>
      </c>
      <c r="I113" s="88" t="n"/>
      <c r="J113" s="32" t="inlineStr"/>
      <c r="K113" s="89" t="n">
        <v>29.99</v>
      </c>
      <c r="L113" s="89" t="n"/>
      <c r="M113" s="90">
        <f>IF(AND(ISNUMBER(L113),ISNUMBER(K113),N(K113)&gt;0),L113/K113-1,"")</f>
        <v/>
      </c>
      <c r="N113" s="91">
        <f>IF(M113="","No List Price",IF(M113&lt;=0,"At/below price",IF(M113&lt;=0.12,"&lt;=12% STR zone",IF(M113&lt;=0.25,"12-25%","&gt;25% over"))))</f>
        <v/>
      </c>
      <c r="O113" s="89" t="n">
        <v>33.22586744639376</v>
      </c>
      <c r="P113" s="92">
        <f>IF(AND(ISNUMBER(K113),ISNUMBER(O113),N(O113)&gt;0),K113/O113-1,"")</f>
        <v/>
      </c>
      <c r="Q113" s="32" t="inlineStr">
        <is>
          <t>vs our blended price (Command Center, Mar 2026 - STALE)</t>
        </is>
      </c>
      <c r="R113" s="88" t="n">
        <v>616342</v>
      </c>
      <c r="S113" s="88" t="n">
        <v>5</v>
      </c>
      <c r="T113" s="93">
        <f>IF(AND(ISNUMBER(K113),ISNUMBER(S113)),K113*S113*52/12,"")</f>
        <v/>
      </c>
      <c r="U113" s="94" t="n">
        <v>4.3</v>
      </c>
      <c r="V113" s="88" t="n">
        <v>111</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104" t="n"/>
      <c r="AV113" s="98" t="inlineStr">
        <is>
          <t>none</t>
        </is>
      </c>
      <c r="AW113" s="98" t="inlineStr">
        <is>
          <t>N</t>
        </is>
      </c>
      <c r="AX113" s="98" t="inlineStr">
        <is>
          <t>2026-10-13 23:37:31</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10">
        <f>_xlfn.IMAGE("https://images-na.ssl-images-amazon.com/images/I/81L2xb5ly6L.jpg")</f>
        <v/>
      </c>
      <c r="B114" s="86" t="inlineStr">
        <is>
          <t>Bedsure</t>
        </is>
      </c>
      <c r="C114" s="32" t="inlineStr">
        <is>
          <t>Bedsure PureWoven 100% Rayon Derived from Bamboo, Queen Sheets, 4 Pieces</t>
        </is>
      </c>
      <c r="D114" s="86" t="inlineStr">
        <is>
          <t>Untiered</t>
        </is>
      </c>
      <c r="E114" s="87" t="inlineStr">
        <is>
          <t>B0BZ8T5BJ6</t>
        </is>
      </c>
      <c r="F114" s="87" t="inlineStr">
        <is>
          <t>B07YK8VTJV</t>
        </is>
      </c>
      <c r="G114" s="86" t="inlineStr">
        <is>
          <t>Queen</t>
        </is>
      </c>
      <c r="H114" s="86" t="inlineStr">
        <is>
          <t>02 - White</t>
        </is>
      </c>
      <c r="I114" s="88" t="n">
        <v>131</v>
      </c>
      <c r="J114" s="32" t="inlineStr">
        <is>
          <t>B07YKCZHGK (29%), B07YK8VTJV (19%), B07YKCQBBL (14%), B07YKCB6GL (9%), B08CXWHQT2 (6%)</t>
        </is>
      </c>
      <c r="K114" s="89" t="n">
        <v>62.99</v>
      </c>
      <c r="L114" s="89" t="n">
        <v>69.98999999999999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10 children</t>
        </is>
      </c>
      <c r="R114" s="88" t="n">
        <v>256</v>
      </c>
      <c r="S114" s="88" t="n">
        <v>809</v>
      </c>
      <c r="T114" s="93">
        <f>IF(AND(ISNUMBER(K114),ISNUMBER(S114)),K114*S114*52/12,"")</f>
        <v/>
      </c>
      <c r="U114" s="94" t="n">
        <v>4.4</v>
      </c>
      <c r="V114" s="88" t="n">
        <v>65061</v>
      </c>
      <c r="W114" s="95" t="n">
        <v>46307</v>
      </c>
      <c r="X114" s="95" t="n">
        <v>43348</v>
      </c>
      <c r="Y114" s="86" t="inlineStr">
        <is>
          <t>FBA</t>
        </is>
      </c>
      <c r="Z114" s="86" t="inlineStr">
        <is>
          <t>US</t>
        </is>
      </c>
      <c r="AA114" s="88" t="n">
        <v>2166046</v>
      </c>
      <c r="AB114" s="88" t="n">
        <v>6935</v>
      </c>
      <c r="AC114" s="96" t="n">
        <v>0.5902383405984899</v>
      </c>
      <c r="AD114" s="96" t="n">
        <v>0.4097618027040986</v>
      </c>
      <c r="AE114" s="32" t="inlineStr">
        <is>
          <t>bamboo sheets</t>
        </is>
      </c>
      <c r="AF114" s="96" t="n">
        <v>0.9388327856379781</v>
      </c>
      <c r="AG114" s="96" t="n">
        <v>0.9371818511702891</v>
      </c>
      <c r="AH114" s="96" t="n">
        <v>0.6488394059959945</v>
      </c>
      <c r="AI114" s="96" t="n">
        <v>0.3206907886536112</v>
      </c>
      <c r="AJ114" s="88" t="n">
        <v>383</v>
      </c>
      <c r="AK114" s="88" t="n">
        <v>47</v>
      </c>
      <c r="AL114" s="88" t="n">
        <v>301</v>
      </c>
      <c r="AM114" s="88" t="n">
        <v>6552</v>
      </c>
      <c r="AN114" s="88" t="n">
        <v>3470</v>
      </c>
      <c r="AO114" s="88" t="n">
        <v>14</v>
      </c>
      <c r="AP114" s="97" t="n">
        <v>1.066623404715553</v>
      </c>
      <c r="AQ114" s="92" t="n">
        <v>-0.05727665706051865</v>
      </c>
      <c r="AR114" s="98" t="inlineStr">
        <is>
          <t>Y</t>
        </is>
      </c>
      <c r="AS114" s="98" t="inlineStr">
        <is>
          <t>List Price</t>
        </is>
      </c>
      <c r="AT114" s="99" t="n">
        <v>69.98999999999999</v>
      </c>
      <c r="AU114" s="99" t="n">
        <v>62.99</v>
      </c>
      <c r="AV114" s="98" t="inlineStr">
        <is>
          <t>none</t>
        </is>
      </c>
      <c r="AW114" s="98" t="inlineStr">
        <is>
          <t>Y</t>
        </is>
      </c>
      <c r="AX114" s="98" t="inlineStr">
        <is>
          <t>2026-10-13 12:10:35</t>
        </is>
      </c>
      <c r="AY114" s="100" t="inlineStr">
        <is>
          <t>Prime Exclusive Discount</t>
        </is>
      </c>
      <c r="AZ114" s="100" t="inlineStr">
        <is>
          <t>11-23 to 12-01</t>
        </is>
      </c>
      <c r="BA114" s="101" t="n">
        <v>66.48999999999999</v>
      </c>
      <c r="BB114" s="101" t="n">
        <v>55.99</v>
      </c>
      <c r="BC114" s="90">
        <f>IF(AND(ISNUMBER(BA114),ISNUMBER(BB114),N(BA114)&gt;0),1-BB114/BA114,"")</f>
        <v/>
      </c>
      <c r="BD114" s="102" t="n">
        <v>156</v>
      </c>
      <c r="BE114" s="102" t="n">
        <v>228</v>
      </c>
      <c r="BF114" s="103">
        <f>IF(AND(ISNUMBER(BD114),ISNUMBER(BE114),N(BE114)&gt;0),BD114/BE114,"")</f>
        <v/>
      </c>
      <c r="BG114" s="100" t="inlineStr">
        <is>
          <t>N</t>
        </is>
      </c>
      <c r="BH114" s="100" t="inlineStr">
        <is>
          <t>Buy Box RAISED in BFCM week (median $69.99 vs $66.49 before); List Price $78.99</t>
        </is>
      </c>
    </row>
    <row r="115" ht="62" customHeight="1">
      <c r="A115" s="10">
        <f>_xlfn.IMAGE("https://m.media-amazon.com/images/I/71lWpVXtIFL._AC_SL1500_.jpg")</f>
        <v/>
      </c>
      <c r="B115" s="86" t="inlineStr">
        <is>
          <t>REST</t>
        </is>
      </c>
      <c r="C115" s="32" t="inlineStr">
        <is>
          <t>Cooling Sheets</t>
        </is>
      </c>
      <c r="D115" s="86" t="inlineStr">
        <is>
          <t>Untiered</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37.99</v>
      </c>
      <c r="P115" s="92">
        <f>IF(AND(ISNUMBER(K115),ISNUMBER(O115),N(O115)&gt;0),K115/O115-1,"")</f>
        <v/>
      </c>
      <c r="Q115" s="32" t="inlineStr">
        <is>
          <t>Same size (Queen). Ours live: Helium 10 Xray, 2026-10-13; 10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257</v>
      </c>
      <c r="AK115" s="88" t="n">
        <v>69</v>
      </c>
      <c r="AL115" s="88" t="n">
        <v>162</v>
      </c>
      <c r="AM115" s="88" t="n">
        <v>7024</v>
      </c>
      <c r="AN115" s="88" t="n">
        <v>3287</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_xlfn.IMAGE("https://images-na.ssl-images-amazon.com/images/I/71AIQ3TCTsL.jpg")</f>
        <v/>
      </c>
      <c r="B116" s="86" t="inlineStr">
        <is>
          <t>BC BELLA COTERIE</t>
        </is>
      </c>
      <c r="C116" s="32" t="inlineStr">
        <is>
          <t>Bella Coterie | Luxury Bamboo Viscose King Size Fitted Sheet Only</t>
        </is>
      </c>
      <c r="D116" s="86" t="inlineStr">
        <is>
          <t>Untiered</t>
        </is>
      </c>
      <c r="E116" s="87" t="inlineStr">
        <is>
          <t>B0FP7WBFNJ</t>
        </is>
      </c>
      <c r="F116" s="87" t="inlineStr">
        <is>
          <t>B0CZXZCTJP</t>
        </is>
      </c>
      <c r="G116" s="86" t="inlineStr">
        <is>
          <t>King</t>
        </is>
      </c>
      <c r="H116" s="86" t="inlineStr">
        <is>
          <t>Ivory</t>
        </is>
      </c>
      <c r="I116" s="88" t="n">
        <v>126</v>
      </c>
      <c r="J116" s="32" t="inlineStr">
        <is>
          <t>B0CZY15Z61 (17%), B0CZXZB79R (16%), B0CZXZCTJP (12%), B0CZY1CFH6 (7%), B0CZY1F63K (7%)</t>
        </is>
      </c>
      <c r="K116" s="89" t="n">
        <v>54.99</v>
      </c>
      <c r="L116" s="89" t="n"/>
      <c r="M116" s="90">
        <f>IF(AND(ISNUMBER(L116),ISNUMBER(K116),N(K116)&gt;0),L116/K116-1,"")</f>
        <v/>
      </c>
      <c r="N116" s="91">
        <f>IF(M116="","No List Price",IF(M116&lt;=0,"At/below price",IF(M116&lt;=0.12,"&lt;=12% STR zone",IF(M116&lt;=0.25,"12-25%","&gt;25% over"))))</f>
        <v/>
      </c>
      <c r="O116" s="89" t="n">
        <v>39.99</v>
      </c>
      <c r="P116" s="92">
        <f>IF(AND(ISNUMBER(K116),ISNUMBER(O116),N(O116)&gt;0),K116/O116-1,"")</f>
        <v/>
      </c>
      <c r="Q116" s="32" t="inlineStr">
        <is>
          <t>Same size (King). Ours live: Helium 10 Xray, 2026-10-13; 10 children</t>
        </is>
      </c>
      <c r="R116" s="88" t="n">
        <v>13383</v>
      </c>
      <c r="S116" s="88" t="n">
        <v>35</v>
      </c>
      <c r="T116" s="93">
        <f>IF(AND(ISNUMBER(K116),ISNUMBER(S116)),K116*S116*52/12,"")</f>
        <v/>
      </c>
      <c r="U116" s="94" t="n">
        <v>4.5</v>
      </c>
      <c r="V116" s="88" t="n">
        <v>331</v>
      </c>
      <c r="W116" s="95" t="n">
        <v>46307</v>
      </c>
      <c r="X116" s="95" t="n">
        <v>45387</v>
      </c>
      <c r="Y116" s="86" t="inlineStr">
        <is>
          <t>FBA</t>
        </is>
      </c>
      <c r="Z116" s="86" t="inlineStr">
        <is>
          <t>US</t>
        </is>
      </c>
      <c r="AA116" s="88" t="n">
        <v>157609</v>
      </c>
      <c r="AB116" s="88" t="n">
        <v>2308</v>
      </c>
      <c r="AC116" s="96" t="n">
        <v>0.3003846861537098</v>
      </c>
      <c r="AD116" s="96" t="n">
        <v>0.6996153544531084</v>
      </c>
      <c r="AE116" s="32" t="inlineStr">
        <is>
          <t>fitted sheet queen</t>
        </is>
      </c>
      <c r="AF116" s="96" t="n">
        <v>0.85385986840853</v>
      </c>
      <c r="AG116" s="96" t="n">
        <v>0.1863916400713157</v>
      </c>
      <c r="AH116" s="96" t="n"/>
      <c r="AI116" s="96" t="n">
        <v>0.009263430387858561</v>
      </c>
      <c r="AJ116" s="88" t="n">
        <v>329</v>
      </c>
      <c r="AK116" s="88" t="n">
        <v>67</v>
      </c>
      <c r="AL116" s="88" t="n">
        <v>227</v>
      </c>
      <c r="AM116" s="88" t="n">
        <v>1979</v>
      </c>
      <c r="AN116" s="88" t="n">
        <v>950</v>
      </c>
      <c r="AO116" s="88" t="n">
        <v>13</v>
      </c>
      <c r="AP116" s="97" t="n">
        <v>1.303030303030303</v>
      </c>
      <c r="AQ116" s="92" t="n">
        <v>-0.07523510971786829</v>
      </c>
      <c r="AR116" s="98" t="inlineStr">
        <is>
          <t>N</t>
        </is>
      </c>
      <c r="AS116" s="98" t="inlineStr">
        <is>
          <t>none</t>
        </is>
      </c>
      <c r="AT116" s="104" t="n"/>
      <c r="AU116" s="99" t="n">
        <v>54.99</v>
      </c>
      <c r="AV116" s="98" t="inlineStr">
        <is>
          <t>coupon $15</t>
        </is>
      </c>
      <c r="AW116" s="98" t="inlineStr">
        <is>
          <t>Y</t>
        </is>
      </c>
      <c r="AX116" s="98" t="inlineStr">
        <is>
          <t>2026-10-13 23:35:38</t>
        </is>
      </c>
      <c r="AY116" s="100" t="inlineStr">
        <is>
          <t>None</t>
        </is>
      </c>
      <c r="AZ116" s="105" t="n"/>
      <c r="BA116" s="101" t="n">
        <v>54.99</v>
      </c>
      <c r="BB116" s="101" t="n">
        <v>54.99</v>
      </c>
      <c r="BC116" s="90">
        <f>IF(AND(ISNUMBER(BA116),ISNUMBER(BB116),N(BA116)&gt;0),1-BB116/BA116,"")</f>
        <v/>
      </c>
      <c r="BD116" s="102" t="n">
        <v>49325</v>
      </c>
      <c r="BE116" s="102" t="n">
        <v>57116</v>
      </c>
      <c r="BF116" s="103">
        <f>IF(AND(ISNUMBER(BD116),ISNUMBER(BE116),N(BE116)&gt;0),BD116/BE116,"")</f>
        <v/>
      </c>
      <c r="BG116" s="100" t="inlineStr">
        <is>
          <t>N</t>
        </is>
      </c>
      <c r="BH116" s="100" t="inlineStr">
        <is>
          <t>List Price $54.99</t>
        </is>
      </c>
    </row>
    <row r="118" ht="20" customHeight="1">
      <c r="A118" s="53" t="inlineStr">
        <is>
          <t>5 · WHAT THIS MEANS FOR BFCM</t>
        </is>
      </c>
    </row>
    <row r="119" ht="30" customHeight="1">
      <c r="A119" s="107" t="inlineStr">
        <is>
          <t>•  Who sells most: Pure Bamboo ~809/wk at $109.99; Bedsure ~809/wk at $62.99 (List $69.99, +11%); Bedsure ~104/wk at $89.99 (List $119.99, +33%); Zaizaihome ~81/wk at $29.99; Bedsure ~81/wk at $44.99. Tracked rivals ~2,050 units/wk; we sell ~128/wk (5.9% of the tracked set).</t>
        </is>
      </c>
    </row>
    <row r="120" ht="18" customHeight="1">
      <c r="A120" s="107" t="inlineStr">
        <is>
          <t>•  Strikethrough: 5 of 11 rivals set a List Price above price; 1 within 12%: Bedsure +11%.</t>
        </is>
      </c>
    </row>
    <row r="121" ht="18" customHeight="1">
      <c r="A121" s="107" t="inlineStr">
        <is>
          <t>•  Price: 2 of 11 rivals sit below our price today (same size where the title states one). Cheapest strong rivals: Zaizaihome $29.99.</t>
        </is>
      </c>
    </row>
    <row r="122" ht="30" customHeight="1">
      <c r="A122"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3" ht="30" customHeight="1">
      <c r="A123"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4" ht="30" customHeight="1">
      <c r="A124" s="107" t="inlineStr">
        <is>
          <t>•  Brand ads: Pure Bamboo (SB 82%, SBV 88%), Bedsure (SB 98%, SBV 53%), Bedsure (SB 53%, SBV 0%), REST (SB 60%, SBV 0%), Cozy Bliss (SB 0%, SBV 70%) hold Sponsored Brands / video on most of their traffic - the plan has our SB, SBV and display live by Nov 1.</t>
        </is>
      </c>
    </row>
    <row r="125" ht="18" customHeight="1">
      <c r="A125" s="107" t="inlineStr">
        <is>
          <t>•  Our BFCM 2025: 0.98x daily sales in BFCM week vs the 30 days before; TACoS 0.0% vs 0.0% before; December 1.43x.</t>
        </is>
      </c>
    </row>
    <row r="126" ht="30" customHeight="1">
      <c r="A126" s="107" t="inlineStr">
        <is>
          <t>•  BFCM 2025, 7 rivals with Keepa history: Prime Exclusive Discount 3, None 2, Price cut only 2. Median depth vs their Nov 1-19 price 14%; median BSR lift 0.96x. 2 raised their Buy Box in BFCM week, so their deal looked deeper than it was.</t>
        </is>
      </c>
    </row>
    <row r="127" ht="18" customHeight="1">
      <c r="A127" s="107" t="inlineStr">
        <is>
          <t>•  1 rival not in the Keepa pulls yet (yellow BFCM 2025 columns) - remaining P2 batches, AGENT_PROMPTS Prompt 2.</t>
        </is>
      </c>
    </row>
  </sheetData>
  <autoFilter ref="B105:BH116"/>
  <mergeCells count="74">
    <mergeCell ref="A15:BH15"/>
    <mergeCell ref="A90:C90"/>
    <mergeCell ref="AR104:AX104"/>
    <mergeCell ref="L5:Q5"/>
    <mergeCell ref="A98:BH98"/>
    <mergeCell ref="A1:BH1"/>
    <mergeCell ref="A94:BH94"/>
    <mergeCell ref="A103:BH103"/>
    <mergeCell ref="Q11:T11"/>
    <mergeCell ref="A123:BH123"/>
    <mergeCell ref="L8:Q8"/>
    <mergeCell ref="A119:BH119"/>
    <mergeCell ref="L4:Q4"/>
    <mergeCell ref="D7:I7"/>
    <mergeCell ref="A13:D13"/>
    <mergeCell ref="A86:C86"/>
    <mergeCell ref="X104:Z104"/>
    <mergeCell ref="I13:L13"/>
    <mergeCell ref="A124:BH124"/>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K104:W104"/>
    <mergeCell ref="T6:Y6"/>
    <mergeCell ref="AY104:BH104"/>
    <mergeCell ref="A95:BH95"/>
    <mergeCell ref="A127:BH127"/>
    <mergeCell ref="A93:C93"/>
    <mergeCell ref="D5:I5"/>
    <mergeCell ref="A104:H104"/>
    <mergeCell ref="M11:P11"/>
    <mergeCell ref="A92:C92"/>
    <mergeCell ref="A126:BH126"/>
    <mergeCell ref="U11:X11"/>
    <mergeCell ref="A97:BH97"/>
    <mergeCell ref="A100:BH100"/>
    <mergeCell ref="A122:BH122"/>
    <mergeCell ref="E13:H13"/>
    <mergeCell ref="D10:I10"/>
    <mergeCell ref="L7:Q7"/>
    <mergeCell ref="T5:Y5"/>
    <mergeCell ref="A96:BH96"/>
    <mergeCell ref="A125:BH125"/>
    <mergeCell ref="A121:BH121"/>
    <mergeCell ref="A12:D12"/>
    <mergeCell ref="M13:P13"/>
    <mergeCell ref="I12:L12"/>
    <mergeCell ref="U13:X13"/>
    <mergeCell ref="A88:C88"/>
    <mergeCell ref="A102:BH102"/>
    <mergeCell ref="M12:P12"/>
    <mergeCell ref="AA104:AQ104"/>
    <mergeCell ref="T4:Y4"/>
    <mergeCell ref="D6:I6"/>
    <mergeCell ref="A87:C87"/>
    <mergeCell ref="E11:H11"/>
  </mergeCells>
  <conditionalFormatting sqref="N106:N116">
    <cfRule type="expression" priority="1" dxfId="1">
      <formula>N106="&lt;=12% STR zone"</formula>
    </cfRule>
  </conditionalFormatting>
  <conditionalFormatting sqref="W106:W116">
    <cfRule type="expression" priority="2" dxfId="0">
      <formula>AND(ISNUMBER(W106),W106&lt;DATE(2026,10,6))</formula>
    </cfRule>
  </conditionalFormatting>
  <conditionalFormatting sqref="Q106:Q116">
    <cfRule type="expression" priority="3" dxfId="0">
      <formula>ISNUMBER(SEARCH("STALE",Q106))</formula>
    </cfRule>
  </conditionalFormatting>
  <conditionalFormatting sqref="P106:P116">
    <cfRule type="expression" priority="4" dxfId="0">
      <formula>AND(ISNUMBER(P106),P106&lt;0)</formula>
    </cfRule>
  </conditionalFormatting>
  <dataValidations count="3">
    <dataValidation sqref="AR106:AR116 BG106:BG116" showDropDown="0" showInputMessage="0" showErrorMessage="0" allowBlank="1" type="list">
      <formula1>"Y,N"</formula1>
    </dataValidation>
    <dataValidation sqref="AS106:AS116" showDropDown="0" showInputMessage="0" showErrorMessage="0" allowBlank="1" type="list">
      <formula1>"List Price,Typical price,Was price,None"</formula1>
    </dataValidation>
    <dataValidation sqref="AY106:AY11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Sleephoria Quilt Set  ·  Amazon.com (US)  ·  Other  ·  BFCM role: Liquidation  ·  Scope: Other</t>
        </is>
      </c>
    </row>
    <row r="2">
      <c r="A2" s="52" t="inlineStr">
        <is>
          <t>← Dashboard</t>
        </is>
      </c>
    </row>
    <row r="3" ht="20" customHeight="1">
      <c r="A3" s="53"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4" t="inlineStr">
        <is>
          <t>King, Queen, Twin</t>
        </is>
      </c>
      <c r="S4" s="11" t="inlineStr">
        <is>
          <t>Break-even ACoS</t>
        </is>
      </c>
      <c r="T4" s="54" t="inlineStr">
        <is>
          <t>5%</t>
        </is>
      </c>
    </row>
    <row r="5" ht="22" customHeight="1">
      <c r="C5" s="11" t="inlineStr">
        <is>
          <t>Brand</t>
        </is>
      </c>
      <c r="D5" s="54" t="inlineStr">
        <is>
          <t>Sleephoria</t>
        </is>
      </c>
      <c r="K5" s="11" t="inlineStr">
        <is>
          <t>Colours</t>
        </is>
      </c>
      <c r="L5" s="54" t="inlineStr">
        <is>
          <t>Black, Ivory, Light Grey, Navy Blue, Sage Green, Taupe, White</t>
        </is>
      </c>
      <c r="S5" s="11" t="inlineStr">
        <is>
          <t>Units last 28 days</t>
        </is>
      </c>
      <c r="T5" s="54" t="inlineStr">
        <is>
          <t>32</t>
        </is>
      </c>
    </row>
    <row r="6" ht="22" customHeight="1">
      <c r="C6" s="11" t="inlineStr">
        <is>
          <t>Marketplace</t>
        </is>
      </c>
      <c r="D6" s="54" t="inlineStr">
        <is>
          <t>Amazon.com (US)</t>
        </is>
      </c>
      <c r="K6" s="11" t="inlineStr">
        <is>
          <t>Price now, best child</t>
        </is>
      </c>
      <c r="L6" s="54" t="inlineStr">
        <is>
          <t>$41.99 (Helium 10 Xray, 2026-10-13)</t>
        </is>
      </c>
      <c r="S6" s="11" t="inlineStr">
        <is>
          <t>Command Center product ASIN</t>
        </is>
      </c>
      <c r="T6" s="54" t="inlineStr">
        <is>
          <t>B0FGZF19SN (one of our child ASINs, not the Amazon parent)</t>
        </is>
      </c>
    </row>
    <row r="7" ht="22" customHeight="1">
      <c r="C7" s="11" t="inlineStr">
        <is>
          <t>Parent ASIN (Amazon)</t>
        </is>
      </c>
      <c r="D7" s="54" t="inlineStr">
        <is>
          <t>B0GZW9QWJM</t>
        </is>
      </c>
      <c r="K7" s="11" t="inlineStr">
        <is>
          <t>Rating / reviews now</t>
        </is>
      </c>
      <c r="L7" s="54" t="inlineStr">
        <is>
          <t>4.5 / 453 (Helium 10 Xray, 2026-10-13)</t>
        </is>
      </c>
    </row>
    <row r="8" ht="22" customHeight="1">
      <c r="C8" s="11" t="inlineStr">
        <is>
          <t>Best-selling child ASIN</t>
        </is>
      </c>
      <c r="D8" s="54" t="inlineStr">
        <is>
          <t>B0FGZDR11L</t>
        </is>
      </c>
      <c r="K8" s="11" t="inlineStr">
        <is>
          <t>Live prices held</t>
        </is>
      </c>
      <c r="L8" s="54" t="inlineStr">
        <is>
          <t>11 of 21 variations</t>
        </is>
      </c>
    </row>
    <row r="9" ht="22" customHeight="1">
      <c r="C9" s="11" t="inlineStr">
        <is>
          <t>Stage</t>
        </is>
      </c>
      <c r="D9" s="54" t="inlineStr">
        <is>
          <t>Liquidation</t>
        </is>
      </c>
      <c r="K9" s="11" t="inlineStr">
        <is>
          <t>Blended price (Command Center)</t>
        </is>
      </c>
      <c r="L9" s="54" t="inlineStr">
        <is>
          <t>$29.02 - fee feed as of 2026-03-30, STALE</t>
        </is>
      </c>
    </row>
    <row r="10">
      <c r="C10" s="11" t="inlineStr">
        <is>
          <t>Total variations (SKUs)</t>
        </is>
      </c>
      <c r="D10" s="54" t="n">
        <v>21</v>
      </c>
      <c r="K10" s="11" t="inlineStr">
        <is>
          <t>Contribution / unit</t>
        </is>
      </c>
      <c r="L10" s="54" t="inlineStr">
        <is>
          <t>$1.49</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19</t>
        </is>
      </c>
      <c r="Q12" s="56" t="inlineStr">
        <is>
          <t>13</t>
        </is>
      </c>
      <c r="U12" s="56" t="inlineStr">
        <is>
          <t>2</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(21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59" t="n">
        <v>41.99</v>
      </c>
      <c r="H18" s="32" t="inlineStr">
        <is>
          <t>Helium 10 Xray, 2026-10-13</t>
        </is>
      </c>
      <c r="I18" s="60" t="n">
        <v>28.99</v>
      </c>
      <c r="J18" s="61" t="inlineStr">
        <is>
          <t>2026-03-30</t>
        </is>
      </c>
      <c r="K18" s="33" t="n">
        <v>1.52</v>
      </c>
      <c r="L18" s="62" t="n">
        <v>0.05243187305967574</v>
      </c>
      <c r="M18" s="63" t="n">
        <v>6</v>
      </c>
      <c r="N18" s="32" t="inlineStr">
        <is>
          <t>Active</t>
        </is>
      </c>
      <c r="O18" s="32" t="n"/>
      <c r="P18" s="64" t="n">
        <v>4.5</v>
      </c>
      <c r="Q18" s="63" t="n">
        <v>453</v>
      </c>
      <c r="R18" s="63" t="n">
        <v>515609</v>
      </c>
      <c r="S18" s="63"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59" t="n">
        <v>41.99</v>
      </c>
      <c r="H19" s="32" t="inlineStr">
        <is>
          <t>Helium 10 Xray, 2026-10-13</t>
        </is>
      </c>
      <c r="I19" s="60" t="n">
        <v>28.99</v>
      </c>
      <c r="J19" s="61" t="inlineStr">
        <is>
          <t>2026-03-30</t>
        </is>
      </c>
      <c r="K19" s="33" t="n">
        <v>2.82</v>
      </c>
      <c r="L19" s="62" t="n">
        <v>0.09727492238703002</v>
      </c>
      <c r="M19" s="63" t="n">
        <v>5</v>
      </c>
      <c r="N19" s="32" t="inlineStr">
        <is>
          <t>Active</t>
        </is>
      </c>
      <c r="O19" s="32" t="n"/>
      <c r="P19" s="64" t="n">
        <v>4.5</v>
      </c>
      <c r="Q19" s="63" t="n">
        <v>453</v>
      </c>
      <c r="R19" s="63" t="n">
        <v>515609</v>
      </c>
      <c r="S19" s="63"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59" t="n">
        <v>44.99</v>
      </c>
      <c r="H20" s="32" t="inlineStr">
        <is>
          <t>Helium 10 Xray, 2026-10-13</t>
        </is>
      </c>
      <c r="I20" s="60" t="n">
        <v>30.99</v>
      </c>
      <c r="J20" s="61" t="inlineStr">
        <is>
          <t>2026-03-30</t>
        </is>
      </c>
      <c r="K20" s="33" t="n">
        <v>1.049999999999995</v>
      </c>
      <c r="L20" s="62" t="n">
        <v>0.03388189738625348</v>
      </c>
      <c r="M20" s="63" t="n">
        <v>4</v>
      </c>
      <c r="N20" s="32" t="inlineStr">
        <is>
          <t>Active</t>
        </is>
      </c>
      <c r="O20" s="32" t="n"/>
      <c r="P20" s="64" t="n">
        <v>4.5</v>
      </c>
      <c r="Q20" s="63" t="n">
        <v>453</v>
      </c>
      <c r="R20" s="63" t="n">
        <v>515609</v>
      </c>
      <c r="S20" s="63"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59" t="n">
        <v>38.99</v>
      </c>
      <c r="H21" s="32" t="inlineStr">
        <is>
          <t>Helium 10 Xray, 2026-10-13</t>
        </is>
      </c>
      <c r="I21" s="60" t="n">
        <v>25.99</v>
      </c>
      <c r="J21" s="61" t="inlineStr">
        <is>
          <t>2026-03-30</t>
        </is>
      </c>
      <c r="K21" s="33" t="n">
        <v>1.550000000000001</v>
      </c>
      <c r="L21" s="62" t="n">
        <v>0.05963832243170453</v>
      </c>
      <c r="M21" s="63" t="n">
        <v>4</v>
      </c>
      <c r="N21" s="32" t="inlineStr">
        <is>
          <t>Active</t>
        </is>
      </c>
      <c r="O21" s="32" t="n"/>
      <c r="P21" s="64" t="n">
        <v>4.5</v>
      </c>
      <c r="Q21" s="63" t="n">
        <v>453</v>
      </c>
      <c r="R21" s="63" t="n">
        <v>515609</v>
      </c>
      <c r="S21" s="63"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0" t="n">
        <v>30.99</v>
      </c>
      <c r="J22" s="61" t="inlineStr">
        <is>
          <t>2026-03-30</t>
        </is>
      </c>
      <c r="K22" s="33" t="n">
        <v>1.049999999999995</v>
      </c>
      <c r="L22" s="62" t="n">
        <v>0.03388189738625348</v>
      </c>
      <c r="M22" s="63" t="n">
        <v>3</v>
      </c>
      <c r="N22" s="32" t="inlineStr">
        <is>
          <t>Inactive</t>
        </is>
      </c>
      <c r="O22" s="32" t="n"/>
      <c r="P22" s="64" t="n"/>
      <c r="Q22" s="63" t="n"/>
      <c r="R22" s="63" t="n"/>
      <c r="S22" s="63"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59" t="n">
        <v>41.99</v>
      </c>
      <c r="H23" s="32" t="inlineStr">
        <is>
          <t>Helium 10 Xray, 2026-10-13</t>
        </is>
      </c>
      <c r="I23" s="60" t="n">
        <v>28.99</v>
      </c>
      <c r="J23" s="61" t="inlineStr">
        <is>
          <t>2026-03-30</t>
        </is>
      </c>
      <c r="K23" s="33" t="n">
        <v>0.7599999999999998</v>
      </c>
      <c r="L23" s="62" t="n">
        <v>0.02621593652983787</v>
      </c>
      <c r="M23" s="63" t="n">
        <v>3</v>
      </c>
      <c r="N23" s="32" t="inlineStr">
        <is>
          <t>Active</t>
        </is>
      </c>
      <c r="O23" s="32" t="n"/>
      <c r="P23" s="64" t="n">
        <v>4.5</v>
      </c>
      <c r="Q23" s="63" t="n">
        <v>453</v>
      </c>
      <c r="R23" s="63" t="n">
        <v>515609</v>
      </c>
      <c r="S23" s="63"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59" t="n">
        <v>41.99</v>
      </c>
      <c r="H24" s="32" t="inlineStr">
        <is>
          <t>Helium 10 Xray, 2026-10-13</t>
        </is>
      </c>
      <c r="I24" s="60" t="n">
        <v>28.99</v>
      </c>
      <c r="J24" s="61" t="inlineStr">
        <is>
          <t>2026-03-30</t>
        </is>
      </c>
      <c r="K24" s="33" t="n">
        <v>1.140000000000001</v>
      </c>
      <c r="L24" s="62" t="n">
        <v>0.03932390479475684</v>
      </c>
      <c r="M24" s="63" t="n">
        <v>2</v>
      </c>
      <c r="N24" s="32" t="inlineStr">
        <is>
          <t>Active</t>
        </is>
      </c>
      <c r="O24" s="32" t="inlineStr">
        <is>
          <t>Yes (100%)</t>
        </is>
      </c>
      <c r="P24" s="64" t="n">
        <v>4.5</v>
      </c>
      <c r="Q24" s="63" t="n">
        <v>453</v>
      </c>
      <c r="R24" s="63" t="n">
        <v>515609</v>
      </c>
      <c r="S24" s="63"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59" t="n">
        <v>44.99</v>
      </c>
      <c r="H25" s="32" t="inlineStr">
        <is>
          <t>Helium 10 Xray, 2026-10-13</t>
        </is>
      </c>
      <c r="I25" s="60" t="n">
        <v>30.99</v>
      </c>
      <c r="J25" s="61" t="inlineStr">
        <is>
          <t>2026-03-30</t>
        </is>
      </c>
      <c r="K25" s="33" t="n">
        <v>1.429999999999996</v>
      </c>
      <c r="L25" s="62" t="n">
        <v>0.04614391739270721</v>
      </c>
      <c r="M25" s="63" t="n">
        <v>1</v>
      </c>
      <c r="N25" s="32" t="inlineStr">
        <is>
          <t>Active</t>
        </is>
      </c>
      <c r="O25" s="32" t="n"/>
      <c r="P25" s="64" t="n">
        <v>4.5</v>
      </c>
      <c r="Q25" s="63" t="n">
        <v>453</v>
      </c>
      <c r="R25" s="63" t="n">
        <v>515609</v>
      </c>
      <c r="S25" s="63"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59" t="n">
        <v>41.99</v>
      </c>
      <c r="H26" s="32" t="inlineStr">
        <is>
          <t>Helium 10 Xray, 2026-10-13</t>
        </is>
      </c>
      <c r="I26" s="60" t="n">
        <v>28.99</v>
      </c>
      <c r="J26" s="61" t="inlineStr">
        <is>
          <t>2026-03-30</t>
        </is>
      </c>
      <c r="K26" s="33" t="n">
        <v>1.140000000000001</v>
      </c>
      <c r="L26" s="62" t="n">
        <v>0.03932390479475684</v>
      </c>
      <c r="M26" s="63" t="n">
        <v>1</v>
      </c>
      <c r="N26" s="32" t="inlineStr">
        <is>
          <t>Active</t>
        </is>
      </c>
      <c r="O26" s="32" t="n"/>
      <c r="P26" s="64" t="n">
        <v>4.5</v>
      </c>
      <c r="Q26" s="63" t="n">
        <v>453</v>
      </c>
      <c r="R26" s="63" t="n">
        <v>515609</v>
      </c>
      <c r="S26" s="63"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0" t="n">
        <v>28.99</v>
      </c>
      <c r="J27" s="61" t="inlineStr">
        <is>
          <t>2026-03-30</t>
        </is>
      </c>
      <c r="K27" s="33" t="n">
        <v>1.140000000000001</v>
      </c>
      <c r="L27" s="62" t="n">
        <v>0.03932390479475684</v>
      </c>
      <c r="M27" s="63" t="n">
        <v>1</v>
      </c>
      <c r="N27" s="32" t="inlineStr">
        <is>
          <t>Active</t>
        </is>
      </c>
      <c r="O27" s="32" t="n"/>
      <c r="P27" s="64" t="n"/>
      <c r="Q27" s="63" t="n"/>
      <c r="R27" s="63" t="n"/>
      <c r="S27" s="63"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0" t="n">
        <v>28.99</v>
      </c>
      <c r="J28" s="61" t="inlineStr">
        <is>
          <t>2026-03-30</t>
        </is>
      </c>
      <c r="K28" s="33" t="n">
        <v>1.140000000000001</v>
      </c>
      <c r="L28" s="62" t="n">
        <v>0.03932390479475684</v>
      </c>
      <c r="M28" s="63" t="n">
        <v>1</v>
      </c>
      <c r="N28" s="32" t="inlineStr">
        <is>
          <t>Inactive</t>
        </is>
      </c>
      <c r="O28" s="32" t="n"/>
      <c r="P28" s="64" t="n">
        <v>4.5</v>
      </c>
      <c r="Q28" s="63" t="n">
        <v>453</v>
      </c>
      <c r="R28" s="63" t="n">
        <v>515609</v>
      </c>
      <c r="S28" s="63"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0" t="n">
        <v>25.99</v>
      </c>
      <c r="J29" s="61" t="inlineStr">
        <is>
          <t>2026-03-30</t>
        </is>
      </c>
      <c r="K29" s="33" t="n">
        <v>1.550000000000001</v>
      </c>
      <c r="L29" s="62" t="n">
        <v>0.05963832243170453</v>
      </c>
      <c r="M29" s="63" t="n">
        <v>1</v>
      </c>
      <c r="N29" s="32" t="inlineStr">
        <is>
          <t>Active</t>
        </is>
      </c>
      <c r="O29" s="32" t="n"/>
      <c r="P29" s="64" t="n"/>
      <c r="Q29" s="63" t="n"/>
      <c r="R29" s="63" t="n"/>
      <c r="S29" s="63"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c r="H30" s="32" t="n"/>
      <c r="I30" s="60" t="n">
        <v>30.99</v>
      </c>
      <c r="J30" s="61" t="inlineStr">
        <is>
          <t>2026-03-30</t>
        </is>
      </c>
      <c r="K30" s="33" t="n">
        <v>1.049999999999995</v>
      </c>
      <c r="L30" s="62" t="n">
        <v>0.03388189738625348</v>
      </c>
      <c r="M30" s="63" t="n"/>
      <c r="N30" s="32" t="inlineStr">
        <is>
          <t>Inactive</t>
        </is>
      </c>
      <c r="O30" s="32" t="n"/>
      <c r="P30" s="64" t="n"/>
      <c r="Q30" s="63" t="n"/>
      <c r="R30" s="63" t="n"/>
      <c r="S30" s="63"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0" t="n">
        <v>30.99</v>
      </c>
      <c r="J31" s="61" t="inlineStr">
        <is>
          <t>2026-03-30</t>
        </is>
      </c>
      <c r="K31" s="33" t="n">
        <v>0.3799999999999955</v>
      </c>
      <c r="L31" s="62" t="n">
        <v>1.226202000645355</v>
      </c>
      <c r="M31" s="63" t="n">
        <v>0</v>
      </c>
      <c r="N31" s="32" t="inlineStr">
        <is>
          <t>Inactive</t>
        </is>
      </c>
      <c r="O31" s="32" t="n"/>
      <c r="P31" s="64" t="n"/>
      <c r="Q31" s="63" t="n"/>
      <c r="R31" s="63" t="n"/>
      <c r="S31" s="63"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59" t="n">
        <v>44.99</v>
      </c>
      <c r="H32" s="32" t="inlineStr">
        <is>
          <t>Helium 10 Xray, 2026-10-13</t>
        </is>
      </c>
      <c r="I32" s="60" t="n">
        <v>30.99</v>
      </c>
      <c r="J32" s="61" t="inlineStr">
        <is>
          <t>2026-03-30</t>
        </is>
      </c>
      <c r="K32" s="33" t="n">
        <v>3.109999999999996</v>
      </c>
      <c r="L32" s="62" t="n">
        <v>0.100354953210713</v>
      </c>
      <c r="M32" s="63" t="n">
        <v>0</v>
      </c>
      <c r="N32" s="32" t="inlineStr">
        <is>
          <t>Active</t>
        </is>
      </c>
      <c r="O32" s="32" t="n"/>
      <c r="P32" s="64" t="n">
        <v>4.5</v>
      </c>
      <c r="Q32" s="63" t="n">
        <v>453</v>
      </c>
      <c r="R32" s="63" t="n">
        <v>515609</v>
      </c>
      <c r="S32" s="63"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0" t="n">
        <v>30.99</v>
      </c>
      <c r="J33" s="61" t="inlineStr">
        <is>
          <t>2026-03-30</t>
        </is>
      </c>
      <c r="K33" s="33" t="n">
        <v>1.049999999999995</v>
      </c>
      <c r="L33" s="62" t="n">
        <v>0.03388189738625348</v>
      </c>
      <c r="M33" s="63" t="n">
        <v>0</v>
      </c>
      <c r="N33" s="32" t="inlineStr">
        <is>
          <t>Inactive</t>
        </is>
      </c>
      <c r="O33" s="32" t="n"/>
      <c r="P33" s="64" t="n"/>
      <c r="Q33" s="63" t="n"/>
      <c r="R33" s="63" t="n"/>
      <c r="S33" s="63"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59" t="n">
        <v>38.99</v>
      </c>
      <c r="H34" s="32" t="inlineStr">
        <is>
          <t>Helium 10 Xray, 2026-10-13</t>
        </is>
      </c>
      <c r="I34" s="60" t="n">
        <v>25.99</v>
      </c>
      <c r="J34" s="61" t="inlineStr">
        <is>
          <t>2026-03-30</t>
        </is>
      </c>
      <c r="K34" s="33" t="n">
        <v>1.17</v>
      </c>
      <c r="L34" s="62" t="n">
        <v>0.04501731435167372</v>
      </c>
      <c r="M34" s="63" t="n">
        <v>0</v>
      </c>
      <c r="N34" s="32" t="inlineStr">
        <is>
          <t>Active</t>
        </is>
      </c>
      <c r="O34" s="32" t="n"/>
      <c r="P34" s="64" t="n">
        <v>4.5</v>
      </c>
      <c r="Q34" s="63" t="n">
        <v>453</v>
      </c>
      <c r="R34" s="63" t="n">
        <v>515609</v>
      </c>
      <c r="S34" s="63"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59" t="n">
        <v>38.99</v>
      </c>
      <c r="H35" s="32" t="inlineStr">
        <is>
          <t>Helium 10 Xray, 2026-10-13</t>
        </is>
      </c>
      <c r="I35" s="60" t="n">
        <v>25.99</v>
      </c>
      <c r="J35" s="61" t="inlineStr">
        <is>
          <t>2026-03-30</t>
        </is>
      </c>
      <c r="K35" s="33" t="n">
        <v>1.550000000000001</v>
      </c>
      <c r="L35" s="62" t="n">
        <v>0.05963832243170453</v>
      </c>
      <c r="M35" s="63" t="n">
        <v>0</v>
      </c>
      <c r="N35" s="32" t="inlineStr">
        <is>
          <t>Active</t>
        </is>
      </c>
      <c r="O35" s="32" t="n"/>
      <c r="P35" s="64" t="n">
        <v>4.5</v>
      </c>
      <c r="Q35" s="63" t="n">
        <v>453</v>
      </c>
      <c r="R35" s="63" t="n">
        <v>515609</v>
      </c>
      <c r="S35" s="63"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0" t="n">
        <v>25.99</v>
      </c>
      <c r="J36" s="61" t="inlineStr">
        <is>
          <t>2026-03-30</t>
        </is>
      </c>
      <c r="K36" s="33" t="n">
        <v>1.17</v>
      </c>
      <c r="L36" s="62" t="n">
        <v>0.04501731435167372</v>
      </c>
      <c r="M36" s="63" t="n"/>
      <c r="N36" s="32" t="inlineStr">
        <is>
          <t>Inactive</t>
        </is>
      </c>
      <c r="O36" s="32" t="n"/>
      <c r="P36" s="64" t="n"/>
      <c r="Q36" s="63" t="n"/>
      <c r="R36" s="63" t="n"/>
      <c r="S36" s="63"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0" t="n">
        <v>25.99</v>
      </c>
      <c r="J37" s="61" t="inlineStr">
        <is>
          <t>2026-03-30</t>
        </is>
      </c>
      <c r="K37" s="33" t="n">
        <v>3.23</v>
      </c>
      <c r="L37" s="62" t="n">
        <v>0.1242785686802616</v>
      </c>
      <c r="M37" s="63" t="n"/>
      <c r="N37" s="32" t="inlineStr">
        <is>
          <t>Inactive</t>
        </is>
      </c>
      <c r="O37" s="32" t="n"/>
      <c r="P37" s="64" t="n"/>
      <c r="Q37" s="63" t="n"/>
      <c r="R37" s="63" t="n"/>
      <c r="S37" s="63"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0" t="n">
        <v>25.99</v>
      </c>
      <c r="J38" s="61" t="inlineStr">
        <is>
          <t>2026-03-30</t>
        </is>
      </c>
      <c r="K38" s="33" t="n">
        <v>1.550000000000001</v>
      </c>
      <c r="L38" s="62" t="n">
        <v>0.05963832243170453</v>
      </c>
      <c r="M38" s="63" t="n">
        <v>0</v>
      </c>
      <c r="N38" s="32" t="inlineStr">
        <is>
          <t>Active</t>
        </is>
      </c>
      <c r="O38" s="32" t="n"/>
      <c r="P38" s="64" t="n"/>
      <c r="Q38" s="63" t="n"/>
      <c r="R38" s="63" t="n"/>
      <c r="S38" s="63" t="n"/>
      <c r="T38" s="32" t="n"/>
    </row>
    <row r="40" ht="20" customHeight="1">
      <c r="A40" s="53" t="inlineStr">
        <is>
          <t>3 · OUR BFCM 2025 RESULT &amp; EVENT VISIBILITY</t>
        </is>
      </c>
    </row>
    <row r="41">
      <c r="A41" s="66" t="inlineStr">
        <is>
          <t>Window</t>
        </is>
      </c>
      <c r="B41" s="67" t="n"/>
      <c r="C41" s="68" t="n"/>
      <c r="D41" s="66" t="inlineStr">
        <is>
          <t>Ad spend</t>
        </is>
      </c>
      <c r="E41" s="66" t="inlineStr">
        <is>
          <t>Ad sales</t>
        </is>
      </c>
      <c r="F41" s="66" t="inlineStr">
        <is>
          <t>ACoS</t>
        </is>
      </c>
      <c r="G41" s="66" t="inlineStr">
        <is>
          <t>TACoS</t>
        </is>
      </c>
      <c r="H41" s="66" t="inlineStr">
        <is>
          <t>Total sales (derived)</t>
        </is>
      </c>
      <c r="J41" s="66" t="inlineStr">
        <is>
          <t>Ad orders</t>
        </is>
      </c>
      <c r="K41" s="66" t="inlineStr">
        <is>
          <t>CVR</t>
        </is>
      </c>
    </row>
    <row r="42">
      <c r="A42" s="69" t="inlineStr">
        <is>
          <t>Pre-event Oct 21 - Nov 19, 2025 (30d)</t>
        </is>
      </c>
      <c r="B42" s="67" t="n"/>
      <c r="C42" s="68" t="n"/>
      <c r="D42" s="70" t="n"/>
      <c r="E42" s="70" t="n"/>
      <c r="F42" s="71" t="n"/>
      <c r="G42" s="71" t="n"/>
      <c r="H42" s="70" t="n"/>
      <c r="J42" s="72" t="n"/>
      <c r="K42" s="73" t="n"/>
    </row>
    <row r="43">
      <c r="A43" s="69" t="inlineStr">
        <is>
          <t>BFCM week Nov 20 - Dec 1, 2025 (12d)</t>
        </is>
      </c>
      <c r="B43" s="67" t="n"/>
      <c r="C43" s="68" t="n"/>
      <c r="D43" s="70" t="n">
        <v>0</v>
      </c>
      <c r="E43" s="70" t="n">
        <v>0</v>
      </c>
      <c r="F43" s="71" t="n"/>
      <c r="G43" s="71" t="n">
        <v>0</v>
      </c>
      <c r="H43" s="70" t="n"/>
      <c r="J43" s="72" t="n">
        <v>0</v>
      </c>
      <c r="K43" s="73" t="n"/>
    </row>
    <row r="44">
      <c r="A44" s="69" t="inlineStr">
        <is>
          <t>December 2 - 31, 2025 (30d)</t>
        </is>
      </c>
      <c r="B44" s="67" t="n"/>
      <c r="C44" s="68" t="n"/>
      <c r="D44" s="70" t="n"/>
      <c r="E44" s="70" t="n"/>
      <c r="F44" s="71" t="n"/>
      <c r="G44" s="71" t="n"/>
      <c r="H44" s="70" t="n"/>
      <c r="J44" s="72" t="n"/>
      <c r="K44" s="73" t="n"/>
    </row>
    <row r="46">
      <c r="A46" s="66" t="inlineStr">
        <is>
          <t>Actual sales (SellerBoard)</t>
        </is>
      </c>
      <c r="B46" s="67" t="n"/>
      <c r="C46" s="68" t="n"/>
      <c r="D46" s="66" t="inlineStr">
        <is>
          <t>Sales</t>
        </is>
      </c>
      <c r="E46" s="66" t="inlineStr">
        <is>
          <t>Units</t>
        </is>
      </c>
      <c r="F46" s="66" t="inlineStr">
        <is>
          <t>Organic units</t>
        </is>
      </c>
      <c r="G46" s="66" t="inlineStr">
        <is>
          <t>Ad units</t>
        </is>
      </c>
      <c r="H46" s="66" t="inlineStr">
        <is>
          <t>Ad cost</t>
        </is>
      </c>
      <c r="J46" s="66" t="inlineStr">
        <is>
          <t>TACoS (actual)</t>
        </is>
      </c>
      <c r="K46" s="66" t="inlineStr">
        <is>
          <t>Sessions</t>
        </is>
      </c>
      <c r="L46" s="66" t="inlineStr">
        <is>
          <t>Unit session %</t>
        </is>
      </c>
      <c r="M46" s="66" t="inlineStr">
        <is>
          <t>Avg price</t>
        </is>
      </c>
      <c r="N46" s="66" t="inlineStr">
        <is>
          <t>Refunds</t>
        </is>
      </c>
    </row>
    <row r="47">
      <c r="A47" s="69" t="inlineStr">
        <is>
          <t>Pre-event Oct 21 - Nov 19, 2025 (30d)</t>
        </is>
      </c>
      <c r="B47" s="67" t="n"/>
      <c r="C47" s="68" t="n"/>
      <c r="D47" s="70" t="n">
        <v>0</v>
      </c>
      <c r="E47" s="72" t="n">
        <v>0</v>
      </c>
      <c r="F47" s="72" t="n">
        <v>0</v>
      </c>
      <c r="G47" s="72" t="n">
        <v>0</v>
      </c>
      <c r="H47" s="70" t="n">
        <v>0</v>
      </c>
      <c r="J47" s="74" t="n"/>
      <c r="K47" s="72" t="n">
        <v>0</v>
      </c>
      <c r="L47" s="74" t="n"/>
      <c r="M47" s="75" t="n"/>
      <c r="N47" s="72" t="n">
        <v>0</v>
      </c>
    </row>
    <row r="48">
      <c r="A48" s="69" t="inlineStr">
        <is>
          <t>BFCM week Nov 20 - Dec 1, 2025 (12d)</t>
        </is>
      </c>
      <c r="B48" s="67" t="n"/>
      <c r="C48" s="68" t="n"/>
      <c r="D48" s="70" t="n">
        <v>1186.59</v>
      </c>
      <c r="E48" s="72" t="n">
        <v>41</v>
      </c>
      <c r="F48" s="72" t="n">
        <v>41</v>
      </c>
      <c r="G48" s="72" t="n">
        <v>0</v>
      </c>
      <c r="H48" s="70" t="n">
        <v>0</v>
      </c>
      <c r="J48" s="74" t="n">
        <v>0</v>
      </c>
      <c r="K48" s="72" t="n">
        <v>147</v>
      </c>
      <c r="L48" s="74" t="n">
        <v>0.2789115646258503</v>
      </c>
      <c r="M48" s="75" t="n">
        <v>28.94121951219512</v>
      </c>
      <c r="N48" s="72" t="n">
        <v>0</v>
      </c>
    </row>
    <row r="49">
      <c r="A49" s="69" t="inlineStr">
        <is>
          <t>December 2 - 31, 2025 (30d)</t>
        </is>
      </c>
      <c r="B49" s="67" t="n"/>
      <c r="C49" s="68" t="n"/>
      <c r="D49" s="70" t="n">
        <v>3215.81</v>
      </c>
      <c r="E49" s="72" t="n">
        <v>119</v>
      </c>
      <c r="F49" s="72" t="n">
        <v>119</v>
      </c>
      <c r="G49" s="72" t="n">
        <v>0</v>
      </c>
      <c r="H49" s="70" t="n">
        <v>0</v>
      </c>
      <c r="J49" s="74" t="n">
        <v>0</v>
      </c>
      <c r="K49" s="72" t="n">
        <v>4324</v>
      </c>
      <c r="L49" s="74" t="n">
        <v>0.02752081406105458</v>
      </c>
      <c r="M49" s="75" t="n">
        <v>27.02361344537815</v>
      </c>
      <c r="N49" s="72" t="n">
        <v>4</v>
      </c>
    </row>
    <row r="50">
      <c r="A50" s="58" t="inlineStr">
        <is>
          <t>SellerBoard, Ecotero account, Amazon parent B0GZW9QWJM plus any of this product's child ASINs SellerBoard lists on their own, UTC days. Lift above uses these actual sales.</t>
        </is>
      </c>
    </row>
    <row r="51" ht="18" customHeight="1">
      <c r="A51" s="77" t="inlineStr">
        <is>
          <t>BFCM 2026 plan (BM, Oct 15, 2026): Best Deal 11/19-11/30. Deal price and depth not yet given; not yet visible in Amazon's deal feed.</t>
        </is>
      </c>
    </row>
    <row r="52" ht="18" customHeight="1">
      <c r="A52" s="78" t="inlineStr">
        <is>
          <t>Pre-BFCM deal decision (Slack): Oct 16-28 Best Deal: cancel proposed; only 42 units left across the parent after the liquidation. [Umair Tahir, #ltsf-mitigation, 2026-10-15]</t>
        </is>
      </c>
    </row>
    <row r="53" ht="18" customHeight="1">
      <c r="A53" s="79" t="inlineStr">
        <is>
          <t>ASSUMED 2026 deal prices, until BM's final: B0FGZDR11L today $41.99; $35.69 at 15% off (Nov 19-26) and $33.59 at 20% off (Nov 27-30 (Black Friday to Cyber Monday)). Rule: Umair Tahir via Shayan Rana, Oct 15, 2026. Evidence: US competitors' median price cut in BFCM 2025: 13% (4 rivals). Amazon may use a lower reference price than today's (it sets it the day before the deal), which would lower the deal price.</t>
        </is>
      </c>
    </row>
    <row r="54">
      <c r="A54" s="58" t="inlineStr">
        <is>
          <t>No Command Center visibility history for our best child ASIN.</t>
        </is>
      </c>
    </row>
    <row r="56" ht="20" customHeight="1">
      <c r="A56" s="53" t="inlineStr">
        <is>
          <t>4 · COMPETITOR LANDSCAPE (19 mapped)</t>
        </is>
      </c>
    </row>
    <row r="57">
      <c r="A57" s="58" t="inlineStr">
        <is>
          <t>Sorted by tier, then estimated weekly units. Green = Command Center price/sales; blue = Data Dive listing; purple = Command Center search strategy (ASINsight); yellow = fill from Keepa / page check.</t>
        </is>
      </c>
    </row>
    <row r="58">
      <c r="A58" s="80" t="inlineStr">
        <is>
          <t>COMPETITOR</t>
        </is>
      </c>
      <c r="I58" s="81" t="inlineStr">
        <is>
          <t>LISTING - Data Dive</t>
        </is>
      </c>
      <c r="J58" s="82" t="inlineStr">
        <is>
          <t>SEARCH STRATEGY - Command Center ASINsight</t>
        </is>
      </c>
      <c r="K58" s="83" t="inlineStr">
        <is>
          <t>PRICE &amp; SALES - Command Center snapshot (date per row)</t>
        </is>
      </c>
      <c r="X58" s="81" t="inlineStr">
        <is>
          <t>LISTING - Data Dive</t>
        </is>
      </c>
      <c r="AA58" s="82" t="inlineStr">
        <is>
          <t>SEARCH STRATEGY - Command Center ASINsight</t>
        </is>
      </c>
      <c r="AR58" s="84" t="inlineStr">
        <is>
          <t>STR NOW - Amazon page check (Oct 13, P1 + P2)</t>
        </is>
      </c>
      <c r="AY58" s="85"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_xlfn.IMAGE("https://images-na.ssl-images-amazon.com/images/I/91rbRjfsNlL.jpg")</f>
        <v/>
      </c>
      <c r="B60" s="86" t="inlineStr">
        <is>
          <t>Love's cabin</t>
        </is>
      </c>
      <c r="C60" s="32" t="inlineStr">
        <is>
          <t>Love's cabin Quilts for Queen Bed Blue Bedspreads - Soft Bed Summer Lightweight Bedspread Comforter - Modern Style Coin Pattern Coverlet for All Season - 3 Pieces (1 Quilt, 2 Pillow Shams)</t>
        </is>
      </c>
      <c r="D60" s="86" t="inlineStr">
        <is>
          <t>Aspirational</t>
        </is>
      </c>
      <c r="E60" s="87" t="inlineStr">
        <is>
          <t>B0859YNTXN</t>
        </is>
      </c>
      <c r="F60" s="87" t="inlineStr">
        <is>
          <t>B08LDD8HBW</t>
        </is>
      </c>
      <c r="G60" s="86" t="inlineStr">
        <is>
          <t>Queen</t>
        </is>
      </c>
      <c r="H60" s="86" t="inlineStr">
        <is>
          <t>Blue</t>
        </is>
      </c>
      <c r="I60" s="88" t="n">
        <v>280</v>
      </c>
      <c r="J60" s="32" t="inlineStr"/>
      <c r="K60" s="89" t="n">
        <v>25.99</v>
      </c>
      <c r="L60" s="89" t="n">
        <v>31.99</v>
      </c>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368</v>
      </c>
      <c r="S60" s="88" t="n">
        <v>809</v>
      </c>
      <c r="T60" s="93">
        <f>IF(AND(ISNUMBER(K60),ISNUMBER(S60)),K60*S60*52/12,"")</f>
        <v/>
      </c>
      <c r="U60" s="94" t="n">
        <v>4.6</v>
      </c>
      <c r="V60" s="88" t="n">
        <v>9469</v>
      </c>
      <c r="W60" s="95" t="n">
        <v>46307</v>
      </c>
      <c r="X60" s="95" t="n">
        <v>44123</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0.9342541687491479</v>
      </c>
      <c r="AQ60" s="92" t="n">
        <v>0.01769787532103662</v>
      </c>
      <c r="AR60" s="98" t="inlineStr">
        <is>
          <t>Y</t>
        </is>
      </c>
      <c r="AS60" s="98" t="inlineStr">
        <is>
          <t>List Price</t>
        </is>
      </c>
      <c r="AT60" s="99" t="n">
        <v>31.99</v>
      </c>
      <c r="AU60" s="99" t="n">
        <v>25.99</v>
      </c>
      <c r="AV60" s="98" t="inlineStr">
        <is>
          <t>none</t>
        </is>
      </c>
      <c r="AW60" s="98" t="inlineStr">
        <is>
          <t>Y</t>
        </is>
      </c>
      <c r="AX60" s="98" t="inlineStr">
        <is>
          <t>2026-10-13 23:41:40</t>
        </is>
      </c>
      <c r="AY60" s="100" t="inlineStr">
        <is>
          <t>Prime Exclusive Discount</t>
        </is>
      </c>
      <c r="AZ60" s="100" t="inlineStr">
        <is>
          <t>11-11 to 12-05</t>
        </is>
      </c>
      <c r="BA60" s="101" t="n">
        <v>27.54</v>
      </c>
      <c r="BB60" s="101" t="n">
        <v>27.54</v>
      </c>
      <c r="BC60" s="90">
        <f>IF(AND(ISNUMBER(BA60),ISNUMBER(BB60),N(BA60)&gt;0),1-BB60/BA60,"")</f>
        <v/>
      </c>
      <c r="BD60" s="102" t="n">
        <v>320</v>
      </c>
      <c r="BE60" s="102" t="n">
        <v>622</v>
      </c>
      <c r="BF60" s="103">
        <f>IF(AND(ISNUMBER(BD60),ISNUMBER(BE60),N(BE60)&gt;0),BD60/BE60,"")</f>
        <v/>
      </c>
      <c r="BG60" s="100" t="inlineStr">
        <is>
          <t>N</t>
        </is>
      </c>
      <c r="BH60" s="100" t="inlineStr">
        <is>
          <t>Prime Exclusive already running before BFCM week; Buy Box RAISED in BFCM week (median $35.99 vs $27.54 before); List Price $35.99</t>
        </is>
      </c>
    </row>
    <row r="61" ht="62" customHeight="1">
      <c r="A61" s="10">
        <f>_xlfn.IMAGE("https://images-na.ssl-images-amazon.com/images/I/81FerbiIQ9L.jpg")</f>
        <v/>
      </c>
      <c r="B61" s="86" t="inlineStr">
        <is>
          <t>FLYMME</t>
        </is>
      </c>
      <c r="C61" s="32" t="inlineStr">
        <is>
          <t>FLYMME Quilts Queen Size - Ultra Soft Navy Blue Quilt Lightweight Microfiber Bedspreads, Classic Basket Weave Pattern Bedspread Bed Coverlet 3 Pieces for All-Season (1 Quilt, 2 Pillow Shams)</t>
        </is>
      </c>
      <c r="D61" s="86" t="inlineStr">
        <is>
          <t>Aspirational</t>
        </is>
      </c>
      <c r="E61" s="87" t="inlineStr">
        <is>
          <t>B0DS2L4CG2</t>
        </is>
      </c>
      <c r="F61" s="87" t="inlineStr">
        <is>
          <t>B0D8JF6DDS</t>
        </is>
      </c>
      <c r="G61" s="86" t="inlineStr">
        <is>
          <t>Queen</t>
        </is>
      </c>
      <c r="H61" s="86" t="inlineStr">
        <is>
          <t>Navy</t>
        </is>
      </c>
      <c r="I61" s="88" t="n">
        <v>113</v>
      </c>
      <c r="J61" s="32" t="inlineStr"/>
      <c r="K61" s="89" t="n">
        <v>27.99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9598</v>
      </c>
      <c r="S61" s="88" t="n">
        <v>347</v>
      </c>
      <c r="T61" s="93">
        <f>IF(AND(ISNUMBER(K61),ISNUMBER(S61)),K61*S61*52/12,"")</f>
        <v/>
      </c>
      <c r="U61" s="94" t="n">
        <v>4.3</v>
      </c>
      <c r="V61" s="88" t="n">
        <v>1454</v>
      </c>
      <c r="W61" s="95" t="n">
        <v>46307</v>
      </c>
      <c r="X61" s="95" t="n">
        <v>45474</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1.132025914901068</v>
      </c>
      <c r="AQ61" s="92" t="n">
        <v>0.07937755422823001</v>
      </c>
      <c r="AR61" s="98" t="inlineStr">
        <is>
          <t>N</t>
        </is>
      </c>
      <c r="AS61" s="98" t="inlineStr">
        <is>
          <t>none</t>
        </is>
      </c>
      <c r="AT61" s="104" t="n"/>
      <c r="AU61" s="99" t="n">
        <v>27.99</v>
      </c>
      <c r="AV61" s="98" t="inlineStr">
        <is>
          <t>none</t>
        </is>
      </c>
      <c r="AW61" s="98" t="inlineStr">
        <is>
          <t>Y</t>
        </is>
      </c>
      <c r="AX61" s="98" t="inlineStr">
        <is>
          <t>2026-10-13 23:40:32</t>
        </is>
      </c>
      <c r="AY61" s="100" t="inlineStr">
        <is>
          <t>None</t>
        </is>
      </c>
      <c r="AZ61" s="105" t="n"/>
      <c r="BA61" s="101" t="n">
        <v>25.19</v>
      </c>
      <c r="BB61" s="101" t="n">
        <v>27.99</v>
      </c>
      <c r="BC61" s="90">
        <f>IF(AND(ISNUMBER(BA61),ISNUMBER(BB61),N(BA61)&gt;0),1-BB61/BA61,"")</f>
        <v/>
      </c>
      <c r="BD61" s="102" t="n">
        <v>17079</v>
      </c>
      <c r="BE61" s="102" t="n">
        <v>32604</v>
      </c>
      <c r="BF61" s="103">
        <f>IF(AND(ISNUMBER(BD61),ISNUMBER(BE61),N(BE61)&gt;0),BD61/BE61,"")</f>
        <v/>
      </c>
      <c r="BG61" s="100" t="inlineStr">
        <is>
          <t>N</t>
        </is>
      </c>
      <c r="BH61" s="100" t="inlineStr">
        <is>
          <t>Prime Exclusive 11-01 to 11-11; Prime Exclusive already running before BFCM week; List Price $27.99</t>
        </is>
      </c>
    </row>
    <row r="62" ht="62" customHeight="1">
      <c r="A62" s="10">
        <f>_xlfn.IMAGE("https://images-na.ssl-images-amazon.com/images/I/71vQq9x6aXL.jpg")</f>
        <v/>
      </c>
      <c r="B62" s="86" t="inlineStr">
        <is>
          <t>HORIMOTE HOME</t>
        </is>
      </c>
      <c r="C62" s="32" t="inlineStr">
        <is>
          <t>HORIMOTE HOME Quilt Set Queen Size Navy Blue, Classic Geometric Diamond Stitched Pattern, Ultra Soft Microfiber Lightweight Bedding Bedspread Coverlet for All Season with 1 Quilt 2 Pillow Shams</t>
        </is>
      </c>
      <c r="D62" s="86" t="inlineStr">
        <is>
          <t>Aspirational</t>
        </is>
      </c>
      <c r="E62" s="87" t="inlineStr">
        <is>
          <t>B0BS5MVH9Q</t>
        </is>
      </c>
      <c r="F62" s="87" t="inlineStr">
        <is>
          <t>B085DLHZQ1</t>
        </is>
      </c>
      <c r="G62" s="86" t="inlineStr">
        <is>
          <t>Queen</t>
        </is>
      </c>
      <c r="H62" s="86" t="inlineStr">
        <is>
          <t>Navy</t>
        </is>
      </c>
      <c r="I62" s="88" t="n">
        <v>81</v>
      </c>
      <c r="J62" s="32" t="inlineStr"/>
      <c r="K62" s="89" t="n">
        <v>29.99</v>
      </c>
      <c r="L62" s="89" t="n"/>
      <c r="M62" s="90">
        <f>IF(AND(ISNUMBER(L62),ISNUMBER(K62),N(K62)&gt;0),L62/K62-1,"")</f>
        <v/>
      </c>
      <c r="N62" s="91">
        <f>IF(M62="","No List Price",IF(M62&lt;=0,"At/below price",IF(M62&lt;=0.12,"&lt;=12% STR zone",IF(M62&lt;=0.25,"12-25%","&gt;25% over"))))</f>
        <v/>
      </c>
      <c r="O62" s="89" t="n">
        <v>41.99</v>
      </c>
      <c r="P62" s="92">
        <f>IF(AND(ISNUMBER(K62),ISNUMBER(O62),N(O62)&gt;0),K62/O62-1,"")</f>
        <v/>
      </c>
      <c r="Q62" s="32" t="inlineStr">
        <is>
          <t>Same size (Queen). Ours live: Helium 10 Xray, 2026-10-13; 5 children</t>
        </is>
      </c>
      <c r="R62" s="88" t="n">
        <v>5785</v>
      </c>
      <c r="S62" s="88" t="n">
        <v>185</v>
      </c>
      <c r="T62" s="93">
        <f>IF(AND(ISNUMBER(K62),ISNUMBER(S62)),K62*S62*52/12,"")</f>
        <v/>
      </c>
      <c r="U62" s="94" t="n">
        <v>4.6</v>
      </c>
      <c r="V62" s="88" t="n">
        <v>9080</v>
      </c>
      <c r="W62" s="95" t="n">
        <v>46307</v>
      </c>
      <c r="X62" s="95" t="n">
        <v>43893</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1.138737985791893</v>
      </c>
      <c r="AQ62" s="92" t="n">
        <v>-0.07805695142378566</v>
      </c>
      <c r="AR62" s="98" t="inlineStr">
        <is>
          <t>N</t>
        </is>
      </c>
      <c r="AS62" s="98" t="inlineStr">
        <is>
          <t>none</t>
        </is>
      </c>
      <c r="AT62" s="104" t="n"/>
      <c r="AU62" s="99" t="n">
        <v>29.99</v>
      </c>
      <c r="AV62" s="98" t="inlineStr">
        <is>
          <t>none</t>
        </is>
      </c>
      <c r="AW62" s="98" t="inlineStr">
        <is>
          <t>Y</t>
        </is>
      </c>
      <c r="AX62" s="98" t="inlineStr">
        <is>
          <t>2026-10-13 23:41:06</t>
        </is>
      </c>
      <c r="AY62" s="100" t="inlineStr">
        <is>
          <t>Prime Exclusive Discount</t>
        </is>
      </c>
      <c r="AZ62" s="100" t="inlineStr">
        <is>
          <t>11-20 to 12-01</t>
        </is>
      </c>
      <c r="BA62" s="101" t="n">
        <v>31.99</v>
      </c>
      <c r="BB62" s="101" t="n">
        <v>25.27</v>
      </c>
      <c r="BC62" s="90">
        <f>IF(AND(ISNUMBER(BA62),ISNUMBER(BB62),N(BA62)&gt;0),1-BB62/BA62,"")</f>
        <v/>
      </c>
      <c r="BD62" s="102" t="n">
        <v>4981</v>
      </c>
      <c r="BE62" s="102" t="n">
        <v>5998</v>
      </c>
      <c r="BF62" s="103">
        <f>IF(AND(ISNUMBER(BD62),ISNUMBER(BE62),N(BE62)&gt;0),BD62/BE62,"")</f>
        <v/>
      </c>
      <c r="BG62" s="100" t="inlineStr">
        <is>
          <t>N</t>
        </is>
      </c>
      <c r="BH62" s="100" t="inlineStr">
        <is>
          <t>List Price $36.99</t>
        </is>
      </c>
    </row>
    <row r="63" ht="62" customHeight="1">
      <c r="A63" s="10">
        <f>_xlfn.IMAGE("https://images-na.ssl-images-amazon.com/images/I/81j7fsOEGfL.jpg")</f>
        <v/>
      </c>
      <c r="B63" s="86" t="inlineStr">
        <is>
          <t>Exclusivo Mezcla</t>
        </is>
      </c>
      <c r="C63" s="32" t="inlineStr">
        <is>
          <t>Exclusivo Mezcla Reversible Full Queen Quilt Bedding Set, Grey</t>
        </is>
      </c>
      <c r="D63" s="86" t="inlineStr">
        <is>
          <t>Aspirational</t>
        </is>
      </c>
      <c r="E63" s="87" t="inlineStr">
        <is>
          <t>B07TZHQQ2L</t>
        </is>
      </c>
      <c r="F63" s="87" t="inlineStr">
        <is>
          <t>B07S6N5C5P</t>
        </is>
      </c>
      <c r="G63" s="86" t="inlineStr">
        <is>
          <t>Full</t>
        </is>
      </c>
      <c r="H63" s="86" t="inlineStr">
        <is>
          <t>Grey</t>
        </is>
      </c>
      <c r="I63" s="88" t="n">
        <v>96</v>
      </c>
      <c r="J63" s="32" t="inlineStr"/>
      <c r="K63" s="89" t="n">
        <v>25.19</v>
      </c>
      <c r="L63" s="89" t="n">
        <v>27.99</v>
      </c>
      <c r="M63" s="90">
        <f>IF(AND(ISNUMBER(L63),ISNUMBER(K63),N(K63)&gt;0),L63/K63-1,"")</f>
        <v/>
      </c>
      <c r="N63" s="91">
        <f>IF(M63="","No List Price",IF(M63&lt;=0,"At/below price",IF(M63&lt;=0.12,"&lt;=12% STR zone",IF(M63&lt;=0.25,"12-25%","&gt;25% over"))))</f>
        <v/>
      </c>
      <c r="O63" s="89" t="n">
        <v>29.02125</v>
      </c>
      <c r="P63" s="92">
        <f>IF(AND(ISNUMBER(K63),ISNUMBER(O63),N(O63)&gt;0),K63/O63-1,"")</f>
        <v/>
      </c>
      <c r="Q63" s="32" t="inlineStr">
        <is>
          <t>vs our blended price (Command Center, Mar 2026 - STALE)</t>
        </is>
      </c>
      <c r="R63" s="88" t="n">
        <v>6071</v>
      </c>
      <c r="S63" s="88" t="n">
        <v>104</v>
      </c>
      <c r="T63" s="93">
        <f>IF(AND(ISNUMBER(K63),ISNUMBER(S63)),K63*S63*52/12,"")</f>
        <v/>
      </c>
      <c r="U63" s="94" t="n">
        <v>4.5</v>
      </c>
      <c r="V63" s="88" t="n">
        <v>17360</v>
      </c>
      <c r="W63" s="95" t="n">
        <v>46307</v>
      </c>
      <c r="X63" s="95" t="n">
        <v>43612</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1.14822247706422</v>
      </c>
      <c r="AQ63" s="92" t="n">
        <v>-0.2315270935960591</v>
      </c>
      <c r="AR63" s="98" t="inlineStr">
        <is>
          <t>Y</t>
        </is>
      </c>
      <c r="AS63" s="98" t="inlineStr">
        <is>
          <t>Typical price</t>
        </is>
      </c>
      <c r="AT63" s="99" t="n">
        <v>27.99</v>
      </c>
      <c r="AU63" s="99" t="n">
        <v>25.19</v>
      </c>
      <c r="AV63" s="98" t="inlineStr">
        <is>
          <t>none</t>
        </is>
      </c>
      <c r="AW63" s="98" t="inlineStr">
        <is>
          <t>Y</t>
        </is>
      </c>
      <c r="AX63" s="98" t="inlineStr">
        <is>
          <t>2026-10-13 23:40:25</t>
        </is>
      </c>
      <c r="AY63" s="100" t="inlineStr">
        <is>
          <t>Price cut only</t>
        </is>
      </c>
      <c r="AZ63" s="100" t="inlineStr">
        <is>
          <t>11-20 to 12-01</t>
        </is>
      </c>
      <c r="BA63" s="101" t="n">
        <v>29.99</v>
      </c>
      <c r="BB63" s="101" t="n">
        <v>24.98</v>
      </c>
      <c r="BC63" s="90">
        <f>IF(AND(ISNUMBER(BA63),ISNUMBER(BB63),N(BA63)&gt;0),1-BB63/BA63,"")</f>
        <v/>
      </c>
      <c r="BD63" s="102" t="n">
        <v>9153</v>
      </c>
      <c r="BE63" s="102" t="n">
        <v>4864</v>
      </c>
      <c r="BF63" s="103">
        <f>IF(AND(ISNUMBER(BD63),ISNUMBER(BE63),N(BE63)&gt;0),BD63/BE63,"")</f>
        <v/>
      </c>
      <c r="BG63" s="100" t="inlineStr">
        <is>
          <t>N</t>
        </is>
      </c>
      <c r="BH63" s="100" t="inlineStr">
        <is>
          <t>List Price $37.99</t>
        </is>
      </c>
    </row>
    <row r="64" ht="62" customHeight="1">
      <c r="A64" s="10">
        <f>_xlfn.IMAGE("https://images-na.ssl-images-amazon.com/images/I/71PwPZaCa+L.jpg")</f>
        <v/>
      </c>
      <c r="B64" s="86" t="inlineStr">
        <is>
          <t>Maple&amp;Stone</t>
        </is>
      </c>
      <c r="C64" s="32" t="inlineStr">
        <is>
          <t>Maple&amp;Stone White Quilt Set Queen Size, Lightweight Bedspread</t>
        </is>
      </c>
      <c r="D64" s="86" t="inlineStr">
        <is>
          <t>Aspirational</t>
        </is>
      </c>
      <c r="E64" s="87" t="inlineStr">
        <is>
          <t>B09HGJGKYD</t>
        </is>
      </c>
      <c r="F64" s="87" t="inlineStr">
        <is>
          <t>B09P3NKL53</t>
        </is>
      </c>
      <c r="G64" s="86" t="inlineStr">
        <is>
          <t>Queen</t>
        </is>
      </c>
      <c r="H64" s="86" t="inlineStr">
        <is>
          <t>White</t>
        </is>
      </c>
      <c r="I64" s="88" t="n">
        <v>63</v>
      </c>
      <c r="J64" s="32" t="inlineStr"/>
      <c r="K64" s="89" t="n">
        <v>29.99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25352</v>
      </c>
      <c r="S64" s="88" t="n">
        <v>104</v>
      </c>
      <c r="T64" s="93">
        <f>IF(AND(ISNUMBER(K64),ISNUMBER(S64)),K64*S64*52/12,"")</f>
        <v/>
      </c>
      <c r="U64" s="94" t="n">
        <v>4.4</v>
      </c>
      <c r="V64" s="88" t="n">
        <v>2762</v>
      </c>
      <c r="W64" s="95" t="n">
        <v>46307</v>
      </c>
      <c r="X64" s="95" t="n">
        <v>44553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1.059339177343223</v>
      </c>
      <c r="AQ64" s="92" t="n">
        <v>-0.2658831003811944</v>
      </c>
      <c r="AR64" s="98" t="inlineStr">
        <is>
          <t>N</t>
        </is>
      </c>
      <c r="AS64" s="98" t="inlineStr">
        <is>
          <t>none</t>
        </is>
      </c>
      <c r="AT64" s="104" t="n"/>
      <c r="AU64" s="99" t="n">
        <v>29.99</v>
      </c>
      <c r="AV64" s="98" t="inlineStr">
        <is>
          <t>none</t>
        </is>
      </c>
      <c r="AW64" s="98" t="inlineStr">
        <is>
          <t>Y</t>
        </is>
      </c>
      <c r="AX64" s="98" t="inlineStr">
        <is>
          <t>2026-10-13 23:41:56</t>
        </is>
      </c>
      <c r="AY64" s="100" t="inlineStr">
        <is>
          <t>Coupon only</t>
        </is>
      </c>
      <c r="AZ64" s="100" t="inlineStr">
        <is>
          <t>11-12 to 11-20</t>
        </is>
      </c>
      <c r="BA64" s="101" t="n">
        <v>29.99</v>
      </c>
      <c r="BB64" s="101" t="n">
        <v>29.99</v>
      </c>
      <c r="BC64" s="90">
        <f>IF(AND(ISNUMBER(BA64),ISNUMBER(BB64),N(BA64)&gt;0),1-BB64/BA64,"")</f>
        <v/>
      </c>
      <c r="BD64" s="102" t="n">
        <v>20017</v>
      </c>
      <c r="BE64" s="102" t="n">
        <v>36089</v>
      </c>
      <c r="BF64" s="103">
        <f>IF(AND(ISNUMBER(BD64),ISNUMBER(BE64),N(BE64)&gt;0),BD64/BE64,"")</f>
        <v/>
      </c>
      <c r="BG64" s="100" t="inlineStr">
        <is>
          <t>N</t>
        </is>
      </c>
      <c r="BH64" s="100" t="inlineStr">
        <is>
          <t>Coupon 10%; List Price $32.99</t>
        </is>
      </c>
    </row>
    <row r="65" ht="62" customHeight="1">
      <c r="A65" s="10">
        <f>_xlfn.IMAGE("https://images-na.ssl-images-amazon.com/images/I/9146yXrH8xL.jpg")</f>
        <v/>
      </c>
      <c r="B65" s="86" t="inlineStr">
        <is>
          <t>Mybedsoul</t>
        </is>
      </c>
      <c r="C65" s="32" t="inlineStr">
        <is>
          <t>Mybedsoul Boho Quilts Queen Size, Patchwork Floral Bedding Set, Blue</t>
        </is>
      </c>
      <c r="D65" s="86" t="inlineStr">
        <is>
          <t>Aspirational</t>
        </is>
      </c>
      <c r="E65" s="87" t="inlineStr">
        <is>
          <t>B0B4JBJGT9</t>
        </is>
      </c>
      <c r="F65" s="87" t="inlineStr">
        <is>
          <t>B0BGS9VP2S</t>
        </is>
      </c>
      <c r="G65" s="86" t="inlineStr">
        <is>
          <t>Queen</t>
        </is>
      </c>
      <c r="H65" s="86" t="inlineStr">
        <is>
          <t>Blue</t>
        </is>
      </c>
      <c r="I65" s="88" t="n">
        <v>79</v>
      </c>
      <c r="J65" s="32" t="inlineStr"/>
      <c r="K65" s="89" t="n">
        <v>35.99</v>
      </c>
      <c r="L65" s="89" t="n"/>
      <c r="M65" s="90">
        <f>IF(AND(ISNUMBER(L65),ISNUMBER(K65),N(K65)&gt;0),L65/K65-1,"")</f>
        <v/>
      </c>
      <c r="N65" s="91">
        <f>IF(M65="","No List Price",IF(M65&lt;=0,"At/below price",IF(M65&lt;=0.12,"&lt;=12% STR zone",IF(M65&lt;=0.25,"12-25%","&gt;25% over"))))</f>
        <v/>
      </c>
      <c r="O65" s="89" t="n">
        <v>41.99</v>
      </c>
      <c r="P65" s="92">
        <f>IF(AND(ISNUMBER(K65),ISNUMBER(O65),N(O65)&gt;0),K65/O65-1,"")</f>
        <v/>
      </c>
      <c r="Q65" s="32" t="inlineStr">
        <is>
          <t>Same size (Queen). Ours live: Helium 10 Xray, 2026-10-13; 5 children</t>
        </is>
      </c>
      <c r="R65" s="88" t="n">
        <v>7768</v>
      </c>
      <c r="S65" s="88" t="n">
        <v>92</v>
      </c>
      <c r="T65" s="93">
        <f>IF(AND(ISNUMBER(K65),ISNUMBER(S65)),K65*S65*52/12,"")</f>
        <v/>
      </c>
      <c r="U65" s="94" t="n">
        <v>4.6</v>
      </c>
      <c r="V65" s="88" t="n">
        <v>4352</v>
      </c>
      <c r="W65" s="95" t="n">
        <v>46307</v>
      </c>
      <c r="X65" s="95" t="n">
        <v>44833</v>
      </c>
      <c r="Y65" s="86" t="inlineStr">
        <is>
          <t>FBA</t>
        </is>
      </c>
      <c r="Z65" s="86" t="inlineStr">
        <is>
          <t>CN</t>
        </is>
      </c>
      <c r="AA65" s="88" t="n"/>
      <c r="AB65" s="88" t="n"/>
      <c r="AC65" s="96" t="n"/>
      <c r="AD65" s="96" t="n"/>
      <c r="AE65" s="32" t="n"/>
      <c r="AF65" s="96" t="n"/>
      <c r="AG65" s="96" t="n"/>
      <c r="AH65" s="96" t="n"/>
      <c r="AI65" s="96" t="n"/>
      <c r="AJ65" s="88" t="n"/>
      <c r="AK65" s="88" t="n"/>
      <c r="AL65" s="88" t="n"/>
      <c r="AM65" s="88" t="n"/>
      <c r="AN65" s="88" t="n"/>
      <c r="AO65" s="88" t="n"/>
      <c r="AP65" s="97" t="n">
        <v>1.341538461538462</v>
      </c>
      <c r="AQ65" s="92" t="n">
        <v>0.3506160164271048</v>
      </c>
      <c r="AR65" s="98" t="inlineStr">
        <is>
          <t>Y</t>
        </is>
      </c>
      <c r="AS65" s="98" t="inlineStr">
        <is>
          <t>List Price</t>
        </is>
      </c>
      <c r="AT65" s="99" t="n">
        <v>44.99</v>
      </c>
      <c r="AU65" s="99" t="n">
        <v>35.99</v>
      </c>
      <c r="AV65" s="98" t="inlineStr">
        <is>
          <t>none</t>
        </is>
      </c>
      <c r="AW65" s="98" t="inlineStr">
        <is>
          <t>Y</t>
        </is>
      </c>
      <c r="AX65" s="98" t="inlineStr">
        <is>
          <t>2026-10-13 23:42:03</t>
        </is>
      </c>
      <c r="AY65" s="100" t="inlineStr">
        <is>
          <t>Prime Exclusive Discount</t>
        </is>
      </c>
      <c r="AZ65" s="100" t="inlineStr">
        <is>
          <t>11-25 to 11-30</t>
        </is>
      </c>
      <c r="BA65" s="101" t="n">
        <v>35.99</v>
      </c>
      <c r="BB65" s="101" t="n">
        <v>32.39</v>
      </c>
      <c r="BC65" s="90">
        <f>IF(AND(ISNUMBER(BA65),ISNUMBER(BB65),N(BA65)&gt;0),1-BB65/BA65,"")</f>
        <v/>
      </c>
      <c r="BD65" s="102" t="n">
        <v>11528</v>
      </c>
      <c r="BE65" s="102" t="n">
        <v>12304</v>
      </c>
      <c r="BF65" s="103">
        <f>IF(AND(ISNUMBER(BD65),ISNUMBER(BE65),N(BE65)&gt;0),BD65/BE65,"")</f>
        <v/>
      </c>
      <c r="BG65" s="100" t="inlineStr">
        <is>
          <t>N</t>
        </is>
      </c>
      <c r="BH65" s="100" t="inlineStr">
        <is>
          <t>Buy Box RAISED in BFCM week (median $44.99 vs $35.99 before); List Price $39.99</t>
        </is>
      </c>
    </row>
    <row r="66" ht="62" customHeight="1">
      <c r="A66" s="10">
        <f>_xlfn.IMAGE("https://m.media-amazon.com/images/I/81NPo9ZNhYL._AC_SL1500_.jpg")</f>
        <v/>
      </c>
      <c r="B66" s="86" t="inlineStr">
        <is>
          <t>Hansleep</t>
        </is>
      </c>
      <c r="C66" s="32" t="inlineStr">
        <is>
          <t>Bamboo Sheets</t>
        </is>
      </c>
      <c r="D66" s="86" t="inlineStr">
        <is>
          <t>Aspirational</t>
        </is>
      </c>
      <c r="E66" s="87" t="inlineStr">
        <is>
          <t>B089VRY7KD</t>
        </is>
      </c>
      <c r="F66" s="87" t="inlineStr">
        <is>
          <t>B089VT34WN</t>
        </is>
      </c>
      <c r="G66" s="86" t="inlineStr">
        <is>
          <t>Oversized King-106"x96"</t>
        </is>
      </c>
      <c r="H66" s="86" t="inlineStr">
        <is>
          <t>White</t>
        </is>
      </c>
      <c r="I66" s="88" t="n"/>
      <c r="J66" s="32" t="inlineStr"/>
      <c r="K66" s="89" t="n">
        <v>36.99</v>
      </c>
      <c r="L66" s="89" t="n"/>
      <c r="M66" s="90">
        <f>IF(AND(ISNUMBER(L66),ISNUMBER(K66),N(K66)&gt;0),L66/K66-1,"")</f>
        <v/>
      </c>
      <c r="N66" s="91">
        <f>IF(M66="","No List Price",IF(M66&lt;=0,"At/below price",IF(M66&lt;=0.12,"&lt;=12% STR zone",IF(M66&lt;=0.25,"12-25%","&gt;25% over"))))</f>
        <v/>
      </c>
      <c r="O66" s="89" t="n">
        <v>29.02125</v>
      </c>
      <c r="P66" s="92">
        <f>IF(AND(ISNUMBER(K66),ISNUMBER(O66),N(O66)&gt;0),K66/O66-1,"")</f>
        <v/>
      </c>
      <c r="Q66" s="32" t="inlineStr">
        <is>
          <t>vs our blended price (Command Center, Mar 2026 - STALE)</t>
        </is>
      </c>
      <c r="R66" s="88" t="n">
        <v>32750</v>
      </c>
      <c r="S66" s="88" t="n">
        <v>35</v>
      </c>
      <c r="T66" s="93">
        <f>IF(AND(ISNUMBER(K66),ISNUMBER(S66)),K66*S66*52/12,"")</f>
        <v/>
      </c>
      <c r="U66" s="94" t="n">
        <v>4.6</v>
      </c>
      <c r="V66" s="88" t="n">
        <v>5920</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36.99</v>
      </c>
      <c r="AV66" s="98" t="inlineStr">
        <is>
          <t>none</t>
        </is>
      </c>
      <c r="AW66" s="98" t="inlineStr">
        <is>
          <t>Y</t>
        </is>
      </c>
      <c r="AX66" s="98" t="inlineStr">
        <is>
          <t>2026-10-13 23:41:09</t>
        </is>
      </c>
      <c r="AY66" s="100" t="inlineStr">
        <is>
          <t>Prime Exclusive Discount</t>
        </is>
      </c>
      <c r="AZ66" s="100" t="inlineStr">
        <is>
          <t>11-22 to 12-05</t>
        </is>
      </c>
      <c r="BA66" s="101" t="n">
        <v>44.99</v>
      </c>
      <c r="BB66" s="101" t="n">
        <v>27.64</v>
      </c>
      <c r="BC66" s="90">
        <f>IF(AND(ISNUMBER(BA66),ISNUMBER(BB66),N(BA66)&gt;0),1-BB66/BA66,"")</f>
        <v/>
      </c>
      <c r="BD66" s="102" t="n">
        <v>29693</v>
      </c>
      <c r="BE66" s="102" t="n">
        <v>25171</v>
      </c>
      <c r="BF66" s="103">
        <f>IF(AND(ISNUMBER(BD66),ISNUMBER(BE66),N(BE66)&gt;0),BD66/BE66,"")</f>
        <v/>
      </c>
      <c r="BG66" s="100" t="inlineStr">
        <is>
          <t>N</t>
        </is>
      </c>
      <c r="BH66" s="100" t="inlineStr">
        <is>
          <t>Coupon 44% (11-07 to 11-15); List Price $34.99</t>
        </is>
      </c>
    </row>
    <row r="67" ht="62" customHeight="1">
      <c r="A67" s="10">
        <f>_xlfn.IMAGE("https://m.media-amazon.com/images/I/81vCprsAEzL._AC_SL1500_.jpg")</f>
        <v/>
      </c>
      <c r="B67" s="86" t="inlineStr">
        <is>
          <t>Wake In Cloud</t>
        </is>
      </c>
      <c r="C67" s="32" t="inlineStr">
        <is>
          <t>Bamboo Sheets</t>
        </is>
      </c>
      <c r="D67" s="86" t="inlineStr">
        <is>
          <t>Aspirational</t>
        </is>
      </c>
      <c r="E67" s="87" t="inlineStr">
        <is>
          <t>B0D7V5YL6V</t>
        </is>
      </c>
      <c r="F67" s="87" t="inlineStr">
        <is>
          <t>B0CRPTW9GV</t>
        </is>
      </c>
      <c r="G67" s="86" t="inlineStr">
        <is>
          <t>King</t>
        </is>
      </c>
      <c r="H67" s="86" t="inlineStr">
        <is>
          <t>Pink</t>
        </is>
      </c>
      <c r="I67" s="88" t="n"/>
      <c r="J67" s="32" t="inlineStr"/>
      <c r="K67" s="89" t="n">
        <v>27.99</v>
      </c>
      <c r="L67" s="89" t="n"/>
      <c r="M67" s="90">
        <f>IF(AND(ISNUMBER(L67),ISNUMBER(K67),N(K67)&gt;0),L67/K67-1,"")</f>
        <v/>
      </c>
      <c r="N67" s="91">
        <f>IF(M67="","No List Price",IF(M67&lt;=0,"At/below price",IF(M67&lt;=0.12,"&lt;=12% STR zone",IF(M67&lt;=0.25,"12-25%","&gt;25% over"))))</f>
        <v/>
      </c>
      <c r="O67" s="89" t="n">
        <v>44.99</v>
      </c>
      <c r="P67" s="92">
        <f>IF(AND(ISNUMBER(K67),ISNUMBER(O67),N(O67)&gt;0),K67/O67-1,"")</f>
        <v/>
      </c>
      <c r="Q67" s="32" t="inlineStr">
        <is>
          <t>Same size (King). Ours live: Helium 10 Xray, 2026-10-13; 3 children</t>
        </is>
      </c>
      <c r="R67" s="88" t="n">
        <v>32539</v>
      </c>
      <c r="S67" s="88" t="n">
        <v>18</v>
      </c>
      <c r="T67" s="93">
        <f>IF(AND(ISNUMBER(K67),ISNUMBER(S67)),K67*S67*52/12,"")</f>
        <v/>
      </c>
      <c r="U67" s="94" t="n">
        <v>4.6</v>
      </c>
      <c r="V67" s="88" t="n">
        <v>512</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N</t>
        </is>
      </c>
      <c r="AS67" s="98" t="inlineStr">
        <is>
          <t>none</t>
        </is>
      </c>
      <c r="AT67" s="104" t="n"/>
      <c r="AU67" s="99" t="n">
        <v>27.99</v>
      </c>
      <c r="AV67" s="98" t="inlineStr">
        <is>
          <t>none</t>
        </is>
      </c>
      <c r="AW67" s="98" t="inlineStr">
        <is>
          <t>Y</t>
        </is>
      </c>
      <c r="AX67" s="98" t="inlineStr">
        <is>
          <t>2026-10-13 23:43:39</t>
        </is>
      </c>
      <c r="AY67" s="100" t="inlineStr">
        <is>
          <t>None</t>
        </is>
      </c>
      <c r="AZ67" s="105" t="n"/>
      <c r="BA67" s="101" t="n">
        <v>41.99</v>
      </c>
      <c r="BB67" s="101" t="n">
        <v>41.99</v>
      </c>
      <c r="BC67" s="90">
        <f>IF(AND(ISNUMBER(BA67),ISNUMBER(BB67),N(BA67)&gt;0),1-BB67/BA67,"")</f>
        <v/>
      </c>
      <c r="BD67" s="102" t="n">
        <v>32220</v>
      </c>
      <c r="BE67" s="102" t="n">
        <v>30444</v>
      </c>
      <c r="BF67" s="103">
        <f>IF(AND(ISNUMBER(BD67),ISNUMBER(BE67),N(BE67)&gt;0),BD67/BE67,"")</f>
        <v/>
      </c>
      <c r="BG67" s="100" t="inlineStr">
        <is>
          <t>N</t>
        </is>
      </c>
      <c r="BH67" s="100" t="inlineStr">
        <is>
          <t>List Price $55.99</t>
        </is>
      </c>
    </row>
    <row r="68" ht="62" customHeight="1">
      <c r="A68" s="10">
        <f>_xlfn.IMAGE("https://images-na.ssl-images-amazon.com/images/I/81Vj1MSRN6L.jpg")</f>
        <v/>
      </c>
      <c r="B68" s="86" t="inlineStr">
        <is>
          <t>WDCOZY</t>
        </is>
      </c>
      <c r="C68" s="32" t="inlineStr">
        <is>
          <t>WDCOZY Beige Queen Size Quilts Bedding Sets with 2 Pillow Shams, Neutral Lightweight Soft Bedspread Coverlet, Quilted Blanket Thin Comforter Bed Cover for All Season, 3 Pieces, 90x90 inches</t>
        </is>
      </c>
      <c r="D68" s="86" t="inlineStr">
        <is>
          <t>Beatable</t>
        </is>
      </c>
      <c r="E68" s="87" t="inlineStr">
        <is>
          <t>B0CRH88PXZ</t>
        </is>
      </c>
      <c r="F68" s="87" t="inlineStr">
        <is>
          <t>B0DJ6XGCFD</t>
        </is>
      </c>
      <c r="G68" s="86" t="inlineStr">
        <is>
          <t>Queen</t>
        </is>
      </c>
      <c r="H68" s="86" t="inlineStr">
        <is>
          <t>Beige</t>
        </is>
      </c>
      <c r="I68" s="88" t="n">
        <v>79</v>
      </c>
      <c r="J68" s="32" t="inlineStr">
        <is>
          <t>B0DJ6WWZP2 (25%), B0B5LF9YXF (19%), B0DJ6XGCFD (17%), B0B5LDJ7CF (10%), B0FCLC6282 (5%)</t>
        </is>
      </c>
      <c r="K68" s="89" t="n">
        <v>44.99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479</v>
      </c>
      <c r="S68" s="88" t="n">
        <v>347</v>
      </c>
      <c r="T68" s="93">
        <f>IF(AND(ISNUMBER(K68),ISNUMBER(S68)),K68*S68*52/12,"")</f>
        <v/>
      </c>
      <c r="U68" s="94" t="n">
        <v>4.4</v>
      </c>
      <c r="V68" s="88" t="n">
        <v>5513</v>
      </c>
      <c r="W68" s="95" t="n">
        <v>46307</v>
      </c>
      <c r="X68" s="95" t="n">
        <v>45564</v>
      </c>
      <c r="Y68" s="86" t="inlineStr">
        <is>
          <t>FBA</t>
        </is>
      </c>
      <c r="Z68" s="86" t="inlineStr">
        <is>
          <t>HK</t>
        </is>
      </c>
      <c r="AA68" s="88" t="n">
        <v>691328</v>
      </c>
      <c r="AB68" s="88" t="n">
        <v>4114</v>
      </c>
      <c r="AC68" s="96" t="n">
        <v>0.9625961895077294</v>
      </c>
      <c r="AD68" s="96" t="n">
        <v>0.03740381049226995</v>
      </c>
      <c r="AE68" s="32" t="inlineStr">
        <is>
          <t>king size comforter set</t>
        </is>
      </c>
      <c r="AF68" s="96" t="n">
        <v>0.3829137543973338</v>
      </c>
      <c r="AG68" s="96" t="n">
        <v>0.0570091186817256</v>
      </c>
      <c r="AH68" s="96" t="n"/>
      <c r="AI68" s="96" t="n">
        <v>0.02869549620440659</v>
      </c>
      <c r="AJ68" s="88" t="n">
        <v>422</v>
      </c>
      <c r="AK68" s="88" t="n">
        <v>11</v>
      </c>
      <c r="AL68" s="88" t="n">
        <v>355</v>
      </c>
      <c r="AM68" s="88" t="n">
        <v>3692</v>
      </c>
      <c r="AN68" s="88" t="n">
        <v>225</v>
      </c>
      <c r="AO68" s="88" t="n">
        <v>0</v>
      </c>
      <c r="AP68" s="97" t="n"/>
      <c r="AQ68" s="92" t="n"/>
      <c r="AR68" s="98" t="inlineStr">
        <is>
          <t>N</t>
        </is>
      </c>
      <c r="AS68" s="98" t="inlineStr">
        <is>
          <t>none</t>
        </is>
      </c>
      <c r="AT68" s="104" t="n"/>
      <c r="AU68" s="99" t="n">
        <v>44.99</v>
      </c>
      <c r="AV68" s="98" t="inlineStr">
        <is>
          <t>none</t>
        </is>
      </c>
      <c r="AW68" s="98" t="inlineStr">
        <is>
          <t>Y</t>
        </is>
      </c>
      <c r="AX68" s="98" t="inlineStr">
        <is>
          <t>2026-10-13 23:43:33</t>
        </is>
      </c>
      <c r="AY68" s="100" t="inlineStr">
        <is>
          <t>None</t>
        </is>
      </c>
      <c r="AZ68" s="105" t="n"/>
      <c r="BA68" s="101" t="n">
        <v>44.99</v>
      </c>
      <c r="BB68" s="101" t="n">
        <v>44.99</v>
      </c>
      <c r="BC68" s="90">
        <f>IF(AND(ISNUMBER(BA68),ISNUMBER(BB68),N(BA68)&gt;0),1-BB68/BA68,"")</f>
        <v/>
      </c>
      <c r="BD68" s="102" t="n">
        <v>1654</v>
      </c>
      <c r="BE68" s="102" t="n">
        <v>1984</v>
      </c>
      <c r="BF68" s="103">
        <f>IF(AND(ISNUMBER(BD68),ISNUMBER(BE68),N(BE68)&gt;0),BD68/BE68,"")</f>
        <v/>
      </c>
      <c r="BG68" s="100" t="inlineStr">
        <is>
          <t>N</t>
        </is>
      </c>
      <c r="BH68" s="100" t="inlineStr">
        <is>
          <t>List Price $41.99</t>
        </is>
      </c>
    </row>
    <row r="69" ht="62" customHeight="1">
      <c r="A69" s="10">
        <f>_xlfn.IMAGE("https://images-na.ssl-images-amazon.com/images/I/71ghS2nS1bL.jpg")</f>
        <v/>
      </c>
      <c r="B69" s="86" t="inlineStr">
        <is>
          <t>WRENSONGE</t>
        </is>
      </c>
      <c r="C69" s="32" t="inlineStr">
        <is>
          <t>Queen Quilt-Lightweight Bedspreads Olive Green Queen Size Quilt Bedding Set</t>
        </is>
      </c>
      <c r="D69" s="86" t="inlineStr">
        <is>
          <t>Beatable</t>
        </is>
      </c>
      <c r="E69" s="87" t="inlineStr">
        <is>
          <t>B0CQSZMYXD</t>
        </is>
      </c>
      <c r="F69" s="87" t="inlineStr">
        <is>
          <t>B0CQT8LKMK</t>
        </is>
      </c>
      <c r="G69" s="86" t="inlineStr">
        <is>
          <t>Queen</t>
        </is>
      </c>
      <c r="H69" s="86" t="inlineStr">
        <is>
          <t>Green</t>
        </is>
      </c>
      <c r="I69" s="88" t="n">
        <v>73</v>
      </c>
      <c r="J69" s="32" t="inlineStr"/>
      <c r="K69" s="89" t="n">
        <v>39.99</v>
      </c>
      <c r="L69" s="89" t="n"/>
      <c r="M69" s="90">
        <f>IF(AND(ISNUMBER(L69),ISNUMBER(K69),N(K69)&gt;0),L69/K69-1,"")</f>
        <v/>
      </c>
      <c r="N69" s="91">
        <f>IF(M69="","No List Price",IF(M69&lt;=0,"At/below price",IF(M69&lt;=0.12,"&lt;=12% STR zone",IF(M69&lt;=0.25,"12-25%","&gt;25% over"))))</f>
        <v/>
      </c>
      <c r="O69" s="89" t="n">
        <v>41.99</v>
      </c>
      <c r="P69" s="92">
        <f>IF(AND(ISNUMBER(K69),ISNUMBER(O69),N(O69)&gt;0),K69/O69-1,"")</f>
        <v/>
      </c>
      <c r="Q69" s="32" t="inlineStr">
        <is>
          <t>Same size (Queen). Ours live: Helium 10 Xray, 2026-10-13; 5 children</t>
        </is>
      </c>
      <c r="R69" s="88" t="n">
        <v>5766</v>
      </c>
      <c r="S69" s="88" t="n">
        <v>220</v>
      </c>
      <c r="T69" s="93">
        <f>IF(AND(ISNUMBER(K69),ISNUMBER(S69)),K69*S69*52/12,"")</f>
        <v/>
      </c>
      <c r="U69" s="94" t="n">
        <v>4.5</v>
      </c>
      <c r="V69" s="88" t="n">
        <v>942</v>
      </c>
      <c r="W69" s="95" t="n">
        <v>46307</v>
      </c>
      <c r="X69" s="95" t="n">
        <v>45282</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1.010340370529944</v>
      </c>
      <c r="AQ69" s="92" t="n">
        <v>0.07320680305644567</v>
      </c>
      <c r="AR69" s="98" t="inlineStr">
        <is>
          <t>Y</t>
        </is>
      </c>
      <c r="AS69" s="98" t="inlineStr">
        <is>
          <t>List Price</t>
        </is>
      </c>
      <c r="AT69" s="99" t="n">
        <v>49.99</v>
      </c>
      <c r="AU69" s="99" t="n">
        <v>39.99</v>
      </c>
      <c r="AV69" s="98" t="inlineStr">
        <is>
          <t>none</t>
        </is>
      </c>
      <c r="AW69" s="98" t="inlineStr">
        <is>
          <t>Y</t>
        </is>
      </c>
      <c r="AX69" s="98" t="inlineStr">
        <is>
          <t>2026-10-13 23:43:36</t>
        </is>
      </c>
      <c r="AY69" s="100" t="inlineStr">
        <is>
          <t>Price cut only</t>
        </is>
      </c>
      <c r="AZ69" s="100" t="inlineStr">
        <is>
          <t>11-20 to 12-01</t>
        </is>
      </c>
      <c r="BA69" s="101" t="n">
        <v>39.99</v>
      </c>
      <c r="BB69" s="101" t="n">
        <v>37.98</v>
      </c>
      <c r="BC69" s="90">
        <f>IF(AND(ISNUMBER(BA69),ISNUMBER(BB69),N(BA69)&gt;0),1-BB69/BA69,"")</f>
        <v/>
      </c>
      <c r="BD69" s="102" t="n">
        <v>11285</v>
      </c>
      <c r="BE69" s="102" t="n">
        <v>9286</v>
      </c>
      <c r="BF69" s="103">
        <f>IF(AND(ISNUMBER(BD69),ISNUMBER(BE69),N(BE69)&gt;0),BD69/BE69,"")</f>
        <v/>
      </c>
      <c r="BG69" s="100" t="inlineStr">
        <is>
          <t>N</t>
        </is>
      </c>
      <c r="BH69" s="100" t="inlineStr">
        <is>
          <t>Prime Exclusive 11-01 to 12-05; Lightning Deal 11-03 to 11-15; Prime Exclusive already running before BFCM week; List Price $49.99</t>
        </is>
      </c>
    </row>
    <row r="70" ht="62" customHeight="1">
      <c r="A70" s="10">
        <f>_xlfn.IMAGE("https://images-na.ssl-images-amazon.com/images/I/81fj2tyxBwL.jpg")</f>
        <v/>
      </c>
      <c r="B70" s="86" t="inlineStr">
        <is>
          <t>akkialla</t>
        </is>
      </c>
      <c r="C70" s="32" t="inlineStr">
        <is>
          <t>akkialla Full/Queen Size Quilt Bedding Set,Beige Lightweight Microfiber Soft Bedspread,Modern Style Geoetric Pattern Coverlet Set for All Seasons,3 Piece(1 Quilt,2 Pillow Shams)</t>
        </is>
      </c>
      <c r="D70" s="86" t="inlineStr">
        <is>
          <t>Beatable</t>
        </is>
      </c>
      <c r="E70" s="87" t="inlineStr">
        <is>
          <t>B0DKDSQXBH</t>
        </is>
      </c>
      <c r="F70" s="87" t="inlineStr">
        <is>
          <t>B0DD3YKGCZ</t>
        </is>
      </c>
      <c r="G70" s="86" t="inlineStr">
        <is>
          <t>Full</t>
        </is>
      </c>
      <c r="H70" s="86" t="inlineStr">
        <is>
          <t>Beige</t>
        </is>
      </c>
      <c r="I70" s="88" t="n">
        <v>116</v>
      </c>
      <c r="J70" s="32" t="inlineStr"/>
      <c r="K70" s="89" t="n">
        <v>27.99</v>
      </c>
      <c r="L70" s="89" t="n"/>
      <c r="M70" s="90">
        <f>IF(AND(ISNUMBER(L70),ISNUMBER(K70),N(K70)&gt;0),L70/K70-1,"")</f>
        <v/>
      </c>
      <c r="N70" s="91">
        <f>IF(M70="","No List Price",IF(M70&lt;=0,"At/below price",IF(M70&lt;=0.12,"&lt;=12% STR zone",IF(M70&lt;=0.25,"12-25%","&gt;25% over"))))</f>
        <v/>
      </c>
      <c r="O70" s="89" t="n">
        <v>29.02125</v>
      </c>
      <c r="P70" s="92">
        <f>IF(AND(ISNUMBER(K70),ISNUMBER(O70),N(O70)&gt;0),K70/O70-1,"")</f>
        <v/>
      </c>
      <c r="Q70" s="32" t="inlineStr">
        <is>
          <t>vs our blended price (Command Center, Mar 2026 - STALE)</t>
        </is>
      </c>
      <c r="R70" s="88" t="n">
        <v>9638</v>
      </c>
      <c r="S70" s="88" t="n">
        <v>197</v>
      </c>
      <c r="T70" s="93">
        <f>IF(AND(ISNUMBER(K70),ISNUMBER(S70)),K70*S70*52/12,"")</f>
        <v/>
      </c>
      <c r="U70" s="94" t="n">
        <v>4.4</v>
      </c>
      <c r="V70" s="88" t="n">
        <v>1378</v>
      </c>
      <c r="W70" s="95" t="n">
        <v>46307</v>
      </c>
      <c r="X70" s="95" t="n">
        <v>45518</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1.10208030962748</v>
      </c>
      <c r="AQ70" s="92" t="n">
        <v>0.9073083778966131</v>
      </c>
      <c r="AR70" s="98" t="inlineStr">
        <is>
          <t>N</t>
        </is>
      </c>
      <c r="AS70" s="98" t="inlineStr">
        <is>
          <t>none</t>
        </is>
      </c>
      <c r="AT70" s="104" t="n"/>
      <c r="AU70" s="99" t="n">
        <v>27.99</v>
      </c>
      <c r="AV70" s="98" t="inlineStr">
        <is>
          <t>none</t>
        </is>
      </c>
      <c r="AW70" s="98" t="inlineStr">
        <is>
          <t>Y</t>
        </is>
      </c>
      <c r="AX70" s="98" t="inlineStr">
        <is>
          <t>2026-10-13 23:44:10</t>
        </is>
      </c>
      <c r="AY70" s="100" t="inlineStr">
        <is>
          <t>None</t>
        </is>
      </c>
      <c r="AZ70" s="105" t="n"/>
      <c r="BA70" s="101" t="n">
        <v>27.99</v>
      </c>
      <c r="BB70" s="101" t="n">
        <v>27.99</v>
      </c>
      <c r="BC70" s="90">
        <f>IF(AND(ISNUMBER(BA70),ISNUMBER(BB70),N(BA70)&gt;0),1-BB70/BA70,"")</f>
        <v/>
      </c>
      <c r="BD70" s="102" t="n">
        <v>17940</v>
      </c>
      <c r="BE70" s="102" t="n">
        <v>23882</v>
      </c>
      <c r="BF70" s="103">
        <f>IF(AND(ISNUMBER(BD70),ISNUMBER(BE70),N(BE70)&gt;0),BD70/BE70,"")</f>
        <v/>
      </c>
      <c r="BG70" s="100" t="inlineStr">
        <is>
          <t>N</t>
        </is>
      </c>
      <c r="BH70" s="100" t="inlineStr">
        <is>
          <t>List Price $27.99</t>
        </is>
      </c>
    </row>
    <row r="71" ht="62" customHeight="1">
      <c r="A71" s="10">
        <f>_xlfn.IMAGE("https://images-na.ssl-images-amazon.com/images/I/71Wz8MFCVVL.jpg")</f>
        <v/>
      </c>
      <c r="B71" s="86" t="inlineStr">
        <is>
          <t>EverGrace</t>
        </is>
      </c>
      <c r="C71" s="32" t="inlineStr">
        <is>
          <t>EverGrace Striped Channel Velvet Quilt Set, King Size, Urban Taupe</t>
        </is>
      </c>
      <c r="D71" s="86" t="inlineStr">
        <is>
          <t>Beatable</t>
        </is>
      </c>
      <c r="E71" s="87" t="inlineStr">
        <is>
          <t>B0C4L25XW9</t>
        </is>
      </c>
      <c r="F71" s="87" t="inlineStr">
        <is>
          <t>B0D14LPTLP</t>
        </is>
      </c>
      <c r="G71" s="86" t="inlineStr">
        <is>
          <t>King</t>
        </is>
      </c>
      <c r="H71" s="86" t="inlineStr">
        <is>
          <t>Taupe</t>
        </is>
      </c>
      <c r="I71" s="88" t="n">
        <v>30</v>
      </c>
      <c r="J71" s="32" t="inlineStr"/>
      <c r="K71" s="89" t="n">
        <v>88.34</v>
      </c>
      <c r="L71" s="89" t="n">
        <v>92.98999999999999</v>
      </c>
      <c r="M71" s="90">
        <f>IF(AND(ISNUMBER(L71),ISNUMBER(K71),N(K71)&gt;0),L71/K71-1,"")</f>
        <v/>
      </c>
      <c r="N71" s="91">
        <f>IF(M71="","No List Price",IF(M71&lt;=0,"At/below price",IF(M71&lt;=0.12,"&lt;=12% STR zone",IF(M71&lt;=0.25,"12-25%","&gt;25% over"))))</f>
        <v/>
      </c>
      <c r="O71" s="89" t="n">
        <v>44.99</v>
      </c>
      <c r="P71" s="92">
        <f>IF(AND(ISNUMBER(K71),ISNUMBER(O71),N(O71)&gt;0),K71/O71-1,"")</f>
        <v/>
      </c>
      <c r="Q71" s="32" t="inlineStr">
        <is>
          <t>Same size (King). Ours live: Helium 10 Xray, 2026-10-13; 3 children</t>
        </is>
      </c>
      <c r="R71" s="88" t="n">
        <v>7973</v>
      </c>
      <c r="S71" s="88" t="n">
        <v>173</v>
      </c>
      <c r="T71" s="93">
        <f>IF(AND(ISNUMBER(K71),ISNUMBER(S71)),K71*S71*52/12,"")</f>
        <v/>
      </c>
      <c r="U71" s="94" t="n">
        <v>4.5</v>
      </c>
      <c r="V71" s="88" t="n">
        <v>1097</v>
      </c>
      <c r="W71" s="95" t="n">
        <v>46307</v>
      </c>
      <c r="X71" s="95" t="n">
        <v>45390</v>
      </c>
      <c r="Y71" s="86" t="inlineStr">
        <is>
          <t>FBA</t>
        </is>
      </c>
      <c r="Z71" s="86" t="inlineStr">
        <is>
          <t>CN</t>
        </is>
      </c>
      <c r="AA71" s="88" t="n"/>
      <c r="AB71" s="88" t="n"/>
      <c r="AC71" s="96" t="n"/>
      <c r="AD71" s="96" t="n"/>
      <c r="AE71" s="32" t="n"/>
      <c r="AF71" s="96" t="n"/>
      <c r="AG71" s="96" t="n"/>
      <c r="AH71" s="96" t="n"/>
      <c r="AI71" s="96" t="n"/>
      <c r="AJ71" s="88" t="n"/>
      <c r="AK71" s="88" t="n"/>
      <c r="AL71" s="88" t="n"/>
      <c r="AM71" s="88" t="n"/>
      <c r="AN71" s="88" t="n"/>
      <c r="AO71" s="88" t="n"/>
      <c r="AP71" s="97" t="n">
        <v>1.72992700729927</v>
      </c>
      <c r="AQ71" s="92" t="n">
        <v>-0.2489510489510489</v>
      </c>
      <c r="AR71" s="98" t="inlineStr">
        <is>
          <t>Y</t>
        </is>
      </c>
      <c r="AS71" s="98" t="inlineStr">
        <is>
          <t>Typical price</t>
        </is>
      </c>
      <c r="AT71" s="99" t="n">
        <v>92.98999999999999</v>
      </c>
      <c r="AU71" s="99" t="n">
        <v>88.34</v>
      </c>
      <c r="AV71" s="98" t="inlineStr">
        <is>
          <t>none</t>
        </is>
      </c>
      <c r="AW71" s="98" t="inlineStr">
        <is>
          <t>Y</t>
        </is>
      </c>
      <c r="AX71" s="98" t="inlineStr">
        <is>
          <t>2026-10-13 23:40:22</t>
        </is>
      </c>
      <c r="AY71" s="100" t="inlineStr">
        <is>
          <t>Price cut only</t>
        </is>
      </c>
      <c r="AZ71" s="100" t="inlineStr">
        <is>
          <t>11-20 to 12-01</t>
        </is>
      </c>
      <c r="BA71" s="101" t="n">
        <v>93.98999999999999</v>
      </c>
      <c r="BB71" s="101" t="n">
        <v>79.03</v>
      </c>
      <c r="BC71" s="90">
        <f>IF(AND(ISNUMBER(BA71),ISNUMBER(BB71),N(BA71)&gt;0),1-BB71/BA71,"")</f>
        <v/>
      </c>
      <c r="BD71" s="102" t="n">
        <v>19116</v>
      </c>
      <c r="BE71" s="102" t="n">
        <v>10904</v>
      </c>
      <c r="BF71" s="103">
        <f>IF(AND(ISNUMBER(BD71),ISNUMBER(BE71),N(BE71)&gt;0),BD71/BE71,"")</f>
        <v/>
      </c>
      <c r="BG71" s="100" t="inlineStr">
        <is>
          <t>N</t>
        </is>
      </c>
      <c r="BH71" s="100" t="inlineStr">
        <is>
          <t>Prime Exclusive 12-04 to 12-05; List Price $129.99</t>
        </is>
      </c>
    </row>
    <row r="72" ht="62" customHeight="1">
      <c r="A72" s="10">
        <f>_xlfn.IMAGE("https://m.media-amazon.com/images/I/81ESlc5bjTL._AC_SL1500_.jpg")</f>
        <v/>
      </c>
      <c r="B72" s="86" t="inlineStr">
        <is>
          <t>Bedsure</t>
        </is>
      </c>
      <c r="C72" s="32" t="inlineStr">
        <is>
          <t>Bamboo Sheets</t>
        </is>
      </c>
      <c r="D72" s="86" t="inlineStr">
        <is>
          <t>Beatable</t>
        </is>
      </c>
      <c r="E72" s="87" t="inlineStr">
        <is>
          <t>B0D14LL4GY</t>
        </is>
      </c>
      <c r="F72" s="87" t="inlineStr">
        <is>
          <t>B0FH51CVXT</t>
        </is>
      </c>
      <c r="G72" s="86" t="inlineStr">
        <is>
          <t>Queen / Full</t>
        </is>
      </c>
      <c r="H72" s="86" t="inlineStr">
        <is>
          <t>01 - Light Beige (Solid Border)</t>
        </is>
      </c>
      <c r="I72" s="88" t="n"/>
      <c r="J72" s="32" t="inlineStr"/>
      <c r="K72" s="89" t="n">
        <v>46.99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41764</v>
      </c>
      <c r="S72" s="88" t="n">
        <v>81</v>
      </c>
      <c r="T72" s="93">
        <f>IF(AND(ISNUMBER(K72),ISNUMBER(S72)),K72*S72*52/12,"")</f>
        <v/>
      </c>
      <c r="U72" s="94" t="n">
        <v>4.6</v>
      </c>
      <c r="V72" s="88" t="n">
        <v>1294</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0.9979818365287589</v>
      </c>
      <c r="AQ72" s="92" t="n">
        <v>1.381868131868132</v>
      </c>
      <c r="AR72" s="98" t="inlineStr">
        <is>
          <t>Y</t>
        </is>
      </c>
      <c r="AS72" s="98" t="inlineStr">
        <is>
          <t>List Price</t>
        </is>
      </c>
      <c r="AT72" s="99" t="n">
        <v>58.99</v>
      </c>
      <c r="AU72" s="99" t="n">
        <v>46.99</v>
      </c>
      <c r="AV72" s="98" t="inlineStr">
        <is>
          <t>none</t>
        </is>
      </c>
      <c r="AW72" s="98" t="inlineStr">
        <is>
          <t>Y</t>
        </is>
      </c>
      <c r="AX72" s="98" t="inlineStr">
        <is>
          <t>2026-10-13 23:39:48</t>
        </is>
      </c>
      <c r="AY72" s="100" t="inlineStr">
        <is>
          <t>Prime Exclusive Discount</t>
        </is>
      </c>
      <c r="AZ72" s="100" t="inlineStr">
        <is>
          <t>11-22 to 11-26</t>
        </is>
      </c>
      <c r="BA72" s="101" t="n">
        <v>50.99</v>
      </c>
      <c r="BB72" s="101" t="n">
        <v>42.49</v>
      </c>
      <c r="BC72" s="90">
        <f>IF(AND(ISNUMBER(BA72),ISNUMBER(BB72),N(BA72)&gt;0),1-BB72/BA72,"")</f>
        <v/>
      </c>
      <c r="BD72" s="102" t="n">
        <v>39084</v>
      </c>
      <c r="BE72" s="102" t="n">
        <v>40583</v>
      </c>
      <c r="BF72" s="103">
        <f>IF(AND(ISNUMBER(BD72),ISNUMBER(BE72),N(BE72)&gt;0),BD72/BE72,"")</f>
        <v/>
      </c>
      <c r="BG72" s="100" t="inlineStr">
        <is>
          <t>N</t>
        </is>
      </c>
      <c r="BH72" s="100" t="inlineStr">
        <is>
          <t>Buy Box RAISED in BFCM week (median $56.99 vs $50.99 before); List Price $56.99</t>
        </is>
      </c>
    </row>
    <row r="73" ht="62" customHeight="1">
      <c r="A73" s="10">
        <f>_xlfn.IMAGE("https://m.media-amazon.com/images/I/91ojjgNK4TL._AC_SL1500_.jpg")</f>
        <v/>
      </c>
      <c r="B73" s="86" t="inlineStr">
        <is>
          <t>Joyreap</t>
        </is>
      </c>
      <c r="C73" s="32" t="inlineStr">
        <is>
          <t>Bamboo Sheets</t>
        </is>
      </c>
      <c r="D73" s="86" t="inlineStr">
        <is>
          <t>Beatable</t>
        </is>
      </c>
      <c r="E73" s="87" t="inlineStr">
        <is>
          <t>B0D1KPS93N</t>
        </is>
      </c>
      <c r="F73" s="87" t="inlineStr">
        <is>
          <t>B0D1KHV9TM</t>
        </is>
      </c>
      <c r="G73" s="86" t="inlineStr">
        <is>
          <t>Queen-90"x90"</t>
        </is>
      </c>
      <c r="H73" s="86" t="inlineStr">
        <is>
          <t>Orange</t>
        </is>
      </c>
      <c r="I73" s="88" t="n"/>
      <c r="J73" s="32" t="inlineStr"/>
      <c r="K73" s="89" t="n">
        <v>29.99</v>
      </c>
      <c r="L73" s="89" t="n"/>
      <c r="M73" s="90">
        <f>IF(AND(ISNUMBER(L73),ISNUMBER(K73),N(K73)&gt;0),L73/K73-1,"")</f>
        <v/>
      </c>
      <c r="N73" s="91">
        <f>IF(M73="","No List Price",IF(M73&lt;=0,"At/below price",IF(M73&lt;=0.12,"&lt;=12% STR zone",IF(M73&lt;=0.25,"12-25%","&gt;25% over"))))</f>
        <v/>
      </c>
      <c r="O73" s="89" t="n">
        <v>29.02125</v>
      </c>
      <c r="P73" s="92">
        <f>IF(AND(ISNUMBER(K73),ISNUMBER(O73),N(O73)&gt;0),K73/O73-1,"")</f>
        <v/>
      </c>
      <c r="Q73" s="32" t="inlineStr">
        <is>
          <t>vs our blended price (Command Center, Mar 2026 - STALE)</t>
        </is>
      </c>
      <c r="R73" s="88" t="n">
        <v>25190</v>
      </c>
      <c r="S73" s="88" t="n">
        <v>81</v>
      </c>
      <c r="T73" s="93">
        <f>IF(AND(ISNUMBER(K73),ISNUMBER(S73)),K73*S73*52/12,"")</f>
        <v/>
      </c>
      <c r="U73" s="94" t="n">
        <v>4.6</v>
      </c>
      <c r="V73" s="88" t="n">
        <v>1595</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v>1.020408163265306</v>
      </c>
      <c r="AQ73" s="92" t="n">
        <v>2.074829931972789</v>
      </c>
      <c r="AR73" s="98" t="inlineStr">
        <is>
          <t>N</t>
        </is>
      </c>
      <c r="AS73" s="98" t="inlineStr">
        <is>
          <t>none</t>
        </is>
      </c>
      <c r="AT73" s="104" t="n"/>
      <c r="AU73" s="99" t="n">
        <v>29.99</v>
      </c>
      <c r="AV73" s="98" t="inlineStr">
        <is>
          <t>none</t>
        </is>
      </c>
      <c r="AW73" s="98" t="inlineStr">
        <is>
          <t>Y</t>
        </is>
      </c>
      <c r="AX73" s="98" t="inlineStr">
        <is>
          <t>2026-10-13 23:41:28</t>
        </is>
      </c>
      <c r="AY73" s="100" t="inlineStr">
        <is>
          <t>Price cut only</t>
        </is>
      </c>
      <c r="AZ73" s="100" t="inlineStr">
        <is>
          <t>11-21 to 12-01</t>
        </is>
      </c>
      <c r="BA73" s="101" t="n">
        <v>32.99</v>
      </c>
      <c r="BB73" s="101" t="n">
        <v>29.99</v>
      </c>
      <c r="BC73" s="90">
        <f>IF(AND(ISNUMBER(BA73),ISNUMBER(BB73),N(BA73)&gt;0),1-BB73/BA73,"")</f>
        <v/>
      </c>
      <c r="BD73" s="102" t="n">
        <v>21921</v>
      </c>
      <c r="BE73" s="102" t="n">
        <v>27848</v>
      </c>
      <c r="BF73" s="103">
        <f>IF(AND(ISNUMBER(BD73),ISNUMBER(BE73),N(BE73)&gt;0),BD73/BE73,"")</f>
        <v/>
      </c>
      <c r="BG73" s="100" t="inlineStr">
        <is>
          <t>N</t>
        </is>
      </c>
      <c r="BH73" s="105" t="n"/>
    </row>
    <row r="74" ht="62" customHeight="1">
      <c r="A74" s="10">
        <f>_xlfn.IMAGE("https://images-na.ssl-images-amazon.com/images/I/81S6ZErX1dL.jpg")</f>
        <v/>
      </c>
      <c r="B74" s="86" t="inlineStr">
        <is>
          <t>Tyrot</t>
        </is>
      </c>
      <c r="C74" s="32" t="inlineStr">
        <is>
          <t>Tyrot 3 Piece Black Boho Floral King Quilt Bedding Sets</t>
        </is>
      </c>
      <c r="D74" s="86" t="inlineStr">
        <is>
          <t>Beatable</t>
        </is>
      </c>
      <c r="E74" s="87" t="inlineStr">
        <is>
          <t>B0CY5H7RHH</t>
        </is>
      </c>
      <c r="F74" s="87" t="inlineStr">
        <is>
          <t>B0CY5BYX7W</t>
        </is>
      </c>
      <c r="G74" s="86" t="inlineStr">
        <is>
          <t>King</t>
        </is>
      </c>
      <c r="H74" s="86" t="inlineStr">
        <is>
          <t>Black</t>
        </is>
      </c>
      <c r="I74" s="88" t="n">
        <v>23</v>
      </c>
      <c r="J74" s="32" t="inlineStr"/>
      <c r="K74" s="89" t="n">
        <v>52.99</v>
      </c>
      <c r="L74" s="89" t="n"/>
      <c r="M74" s="90">
        <f>IF(AND(ISNUMBER(L74),ISNUMBER(K74),N(K74)&gt;0),L74/K74-1,"")</f>
        <v/>
      </c>
      <c r="N74" s="91">
        <f>IF(M74="","No List Price",IF(M74&lt;=0,"At/below price",IF(M74&lt;=0.12,"&lt;=12% STR zone",IF(M74&lt;=0.25,"12-25%","&gt;25% over"))))</f>
        <v/>
      </c>
      <c r="O74" s="89" t="n">
        <v>44.99</v>
      </c>
      <c r="P74" s="92">
        <f>IF(AND(ISNUMBER(K74),ISNUMBER(O74),N(O74)&gt;0),K74/O74-1,"")</f>
        <v/>
      </c>
      <c r="Q74" s="32" t="inlineStr">
        <is>
          <t>Same size (King). Ours live: Helium 10 Xray, 2026-10-13; 3 children</t>
        </is>
      </c>
      <c r="R74" s="88" t="n">
        <v>18942</v>
      </c>
      <c r="S74" s="88" t="n">
        <v>81</v>
      </c>
      <c r="T74" s="93">
        <f>IF(AND(ISNUMBER(K74),ISNUMBER(S74)),K74*S74*52/12,"")</f>
        <v/>
      </c>
      <c r="U74" s="94" t="n">
        <v>4.7</v>
      </c>
      <c r="V74" s="88" t="n">
        <v>1849</v>
      </c>
      <c r="W74" s="95" t="n">
        <v>46307</v>
      </c>
      <c r="X74" s="95" t="n">
        <v>45366</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52.99</v>
      </c>
      <c r="AV74" s="98" t="inlineStr">
        <is>
          <t>none</t>
        </is>
      </c>
      <c r="AW74" s="98" t="inlineStr">
        <is>
          <t>Y</t>
        </is>
      </c>
      <c r="AX74" s="98" t="inlineStr">
        <is>
          <t>2026-10-13 23:43:30</t>
        </is>
      </c>
      <c r="AY74" s="100" t="inlineStr">
        <is>
          <t>Prime Exclusive Discount</t>
        </is>
      </c>
      <c r="AZ74" s="100" t="inlineStr">
        <is>
          <t>11-29 to 12-01</t>
        </is>
      </c>
      <c r="BA74" s="101" t="n">
        <v>52.99</v>
      </c>
      <c r="BB74" s="101" t="n">
        <v>41.64</v>
      </c>
      <c r="BC74" s="90">
        <f>IF(AND(ISNUMBER(BA74),ISNUMBER(BB74),N(BA74)&gt;0),1-BB74/BA74,"")</f>
        <v/>
      </c>
      <c r="BD74" s="102" t="n">
        <v>26384</v>
      </c>
      <c r="BE74" s="102" t="n">
        <v>40580</v>
      </c>
      <c r="BF74" s="103">
        <f>IF(AND(ISNUMBER(BD74),ISNUMBER(BE74),N(BE74)&gt;0),BD74/BE74,"")</f>
        <v/>
      </c>
      <c r="BG74" s="100" t="inlineStr">
        <is>
          <t>N</t>
        </is>
      </c>
      <c r="BH74" s="100" t="inlineStr">
        <is>
          <t>Lightning Deal 11-03 to 11-03; Coupon 10% (11-07 to 11-13); List Price $52.99</t>
        </is>
      </c>
    </row>
    <row r="75" ht="62" customHeight="1">
      <c r="A75" s="10">
        <f>_xlfn.IMAGE("https://images-na.ssl-images-amazon.com/images/I/71b4fXGePgL.jpg")</f>
        <v/>
      </c>
      <c r="B75" s="86" t="inlineStr">
        <is>
          <t>Luxudecor</t>
        </is>
      </c>
      <c r="C75" s="32" t="inlineStr">
        <is>
          <t>Luxudecor Quilts Queen Size Boho Sage Green Quilt Bedspreads Bedding Set, 3 Pieces Summer Queen Coverlet Sets with 2 Shams,Soft Lightweight Striped Patchwork Quilt for Bed 96"x90"</t>
        </is>
      </c>
      <c r="D75" s="86" t="inlineStr">
        <is>
          <t>Beatable</t>
        </is>
      </c>
      <c r="E75" s="87" t="inlineStr">
        <is>
          <t>B0GDXK4KHR</t>
        </is>
      </c>
      <c r="F75" s="87" t="inlineStr">
        <is>
          <t>B0FWQB61X1</t>
        </is>
      </c>
      <c r="G75" s="86" t="inlineStr">
        <is>
          <t>Queen</t>
        </is>
      </c>
      <c r="H75" s="86" t="inlineStr">
        <is>
          <t>Green</t>
        </is>
      </c>
      <c r="I75" s="88" t="n">
        <v>2</v>
      </c>
      <c r="J75" s="32" t="inlineStr"/>
      <c r="K75" s="89" t="n">
        <v>33.99</v>
      </c>
      <c r="L75" s="89" t="n"/>
      <c r="M75" s="90">
        <f>IF(AND(ISNUMBER(L75),ISNUMBER(K75),N(K75)&gt;0),L75/K75-1,"")</f>
        <v/>
      </c>
      <c r="N75" s="91">
        <f>IF(M75="","No List Price",IF(M75&lt;=0,"At/below price",IF(M75&lt;=0.12,"&lt;=12% STR zone",IF(M75&lt;=0.25,"12-25%","&gt;25% over"))))</f>
        <v/>
      </c>
      <c r="O75" s="89" t="n">
        <v>41.99</v>
      </c>
      <c r="P75" s="92">
        <f>IF(AND(ISNUMBER(K75),ISNUMBER(O75),N(O75)&gt;0),K75/O75-1,"")</f>
        <v/>
      </c>
      <c r="Q75" s="32" t="inlineStr">
        <is>
          <t>Same size (Queen). Ours live: Helium 10 Xray, 2026-10-13; 5 children</t>
        </is>
      </c>
      <c r="R75" s="88" t="n">
        <v>1652676</v>
      </c>
      <c r="S75" s="88" t="n">
        <v>5</v>
      </c>
      <c r="T75" s="93">
        <f>IF(AND(ISNUMBER(K75),ISNUMBER(S75)),K75*S75*52/12,"")</f>
        <v/>
      </c>
      <c r="U75" s="94" t="n">
        <v>4.6</v>
      </c>
      <c r="V75" s="88" t="n">
        <v>40</v>
      </c>
      <c r="W75" s="95" t="n">
        <v>46307</v>
      </c>
      <c r="X75" s="95" t="n">
        <v>45947</v>
      </c>
      <c r="Y75" s="86" t="inlineStr">
        <is>
          <t>FBM</t>
        </is>
      </c>
      <c r="Z75" s="86" t="inlineStr">
        <is>
          <t>N/A</t>
        </is>
      </c>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98" t="inlineStr">
        <is>
          <t>N</t>
        </is>
      </c>
      <c r="AX75" s="98" t="inlineStr">
        <is>
          <t>2026-10-13 23:41:43</t>
        </is>
      </c>
      <c r="AY75" s="100" t="inlineStr">
        <is>
          <t>Not live in 2025</t>
        </is>
      </c>
      <c r="AZ75" s="105" t="n"/>
      <c r="BA75" s="104" t="n"/>
      <c r="BB75" s="104" t="n"/>
      <c r="BC75" s="90">
        <f>IF(AND(ISNUMBER(BA75),ISNUMBER(BB75),N(BA75)&gt;0),1-BB75/BA75,"")</f>
        <v/>
      </c>
      <c r="BD75" s="106" t="n"/>
      <c r="BE75" s="106" t="n"/>
      <c r="BF75" s="103">
        <f>IF(AND(ISNUMBER(BD75),ISNUMBER(BE75),N(BE75)&gt;0),BD75/BE75,"")</f>
        <v/>
      </c>
      <c r="BG75" s="105" t="n"/>
      <c r="BH75" s="105" t="n"/>
    </row>
    <row r="76" ht="62" customHeight="1">
      <c r="A76" s="10">
        <f>_xlfn.IMAGE("https://m.media-amazon.com/images/I/81fCqpuz8GL._AC_SL1500_.jpg")</f>
        <v/>
      </c>
      <c r="B76" s="86" t="inlineStr">
        <is>
          <t>Ycosy</t>
        </is>
      </c>
      <c r="C76" s="32" t="inlineStr">
        <is>
          <t>Bamboo Sheets</t>
        </is>
      </c>
      <c r="D76" s="86" t="inlineStr">
        <is>
          <t>Beatable</t>
        </is>
      </c>
      <c r="E76" s="87" t="inlineStr">
        <is>
          <t>B08MX8D8KK</t>
        </is>
      </c>
      <c r="F76" s="87" t="inlineStr">
        <is>
          <t>B0FC6F4RYY</t>
        </is>
      </c>
      <c r="G76" s="86" t="inlineStr">
        <is>
          <t>King</t>
        </is>
      </c>
      <c r="H76" s="86" t="inlineStr">
        <is>
          <t>Grey Brown Plaid</t>
        </is>
      </c>
      <c r="I76" s="88" t="n"/>
      <c r="J76" s="32" t="inlineStr"/>
      <c r="K76" s="89" t="n">
        <v>32.99</v>
      </c>
      <c r="L76" s="89" t="n"/>
      <c r="M76" s="90">
        <f>IF(AND(ISNUMBER(L76),ISNUMBER(K76),N(K76)&gt;0),L76/K76-1,"")</f>
        <v/>
      </c>
      <c r="N76" s="91">
        <f>IF(M76="","No List Price",IF(M76&lt;=0,"At/below price",IF(M76&lt;=0.12,"&lt;=12% STR zone",IF(M76&lt;=0.25,"12-25%","&gt;25% over"))))</f>
        <v/>
      </c>
      <c r="O76" s="89" t="n">
        <v>44.99</v>
      </c>
      <c r="P76" s="92">
        <f>IF(AND(ISNUMBER(K76),ISNUMBER(O76),N(O76)&gt;0),K76/O76-1,"")</f>
        <v/>
      </c>
      <c r="Q76" s="32" t="inlineStr">
        <is>
          <t>Same size (King). Ours live: Helium 10 Xray, 2026-10-13; 3 children</t>
        </is>
      </c>
      <c r="R76" s="88" t="n">
        <v>642294</v>
      </c>
      <c r="S76" s="88" t="n">
        <v>5</v>
      </c>
      <c r="T76" s="93">
        <f>IF(AND(ISNUMBER(K76),ISNUMBER(S76)),K76*S76*52/12,"")</f>
        <v/>
      </c>
      <c r="U76" s="94" t="n">
        <v>4.5</v>
      </c>
      <c r="V76" s="88" t="n">
        <v>1264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104" t="n"/>
      <c r="AV76" s="98" t="inlineStr">
        <is>
          <t>none</t>
        </is>
      </c>
      <c r="AW76" s="105" t="n"/>
      <c r="AX76" s="98" t="inlineStr">
        <is>
          <t>2026-10-13 23:49:11</t>
        </is>
      </c>
      <c r="AY76" s="100" t="inlineStr">
        <is>
          <t>Prime Exclusive Discount</t>
        </is>
      </c>
      <c r="AZ76" s="100" t="inlineStr">
        <is>
          <t>11-24 to 12-01</t>
        </is>
      </c>
      <c r="BA76" s="101" t="n">
        <v>32.29</v>
      </c>
      <c r="BB76" s="101" t="n">
        <v>28.89</v>
      </c>
      <c r="BC76" s="90">
        <f>IF(AND(ISNUMBER(BA76),ISNUMBER(BB76),N(BA76)&gt;0),1-BB76/BA76,"")</f>
        <v/>
      </c>
      <c r="BD76" s="102" t="n">
        <v>154468</v>
      </c>
      <c r="BE76" s="102" t="n">
        <v>139207</v>
      </c>
      <c r="BF76" s="103">
        <f>IF(AND(ISNUMBER(BD76),ISNUMBER(BE76),N(BE76)&gt;0),BD76/BE76,"")</f>
        <v/>
      </c>
      <c r="BG76" s="100" t="inlineStr">
        <is>
          <t>N</t>
        </is>
      </c>
      <c r="BH76" s="100" t="inlineStr">
        <is>
          <t>Buy Box RAISED in BFCM week (median $39.99 vs $32.29 before)</t>
        </is>
      </c>
    </row>
    <row r="77" ht="62" customHeight="1">
      <c r="A77" s="10">
        <f>_xlfn.IMAGE("https://m.media-amazon.com/images/I/81ccKlcUZYL._AC_SL1500_.jpg")</f>
        <v/>
      </c>
      <c r="B77" s="86" t="inlineStr">
        <is>
          <t>Anibedding</t>
        </is>
      </c>
      <c r="C77" s="32" t="inlineStr">
        <is>
          <t>Bamboo Sheets</t>
        </is>
      </c>
      <c r="D77" s="86" t="inlineStr">
        <is>
          <t>Poor</t>
        </is>
      </c>
      <c r="E77" s="87" t="inlineStr">
        <is>
          <t>B0F82F4MD4</t>
        </is>
      </c>
      <c r="F77" s="87" t="inlineStr">
        <is>
          <t>B0F8N6XCJ5</t>
        </is>
      </c>
      <c r="G77" s="86" t="inlineStr">
        <is>
          <t>Queen</t>
        </is>
      </c>
      <c r="H77" s="86" t="inlineStr">
        <is>
          <t>Pumpkin (Black and White)</t>
        </is>
      </c>
      <c r="I77" s="88" t="n"/>
      <c r="J77" s="32" t="inlineStr"/>
      <c r="K77" s="89" t="n">
        <v>32.28</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55055</v>
      </c>
      <c r="S77" s="88" t="n">
        <v>35</v>
      </c>
      <c r="T77" s="93">
        <f>IF(AND(ISNUMBER(K77),ISNUMBER(S77)),K77*S77*52/12,"")</f>
        <v/>
      </c>
      <c r="U77" s="94" t="n">
        <v>4.6</v>
      </c>
      <c r="V77" s="88" t="n">
        <v>361</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Y</t>
        </is>
      </c>
      <c r="AS77" s="98" t="inlineStr">
        <is>
          <t>List Price</t>
        </is>
      </c>
      <c r="AT77" s="99" t="n">
        <v>37.98</v>
      </c>
      <c r="AU77" s="99" t="n">
        <v>33.99</v>
      </c>
      <c r="AV77" s="98" t="inlineStr">
        <is>
          <t>none</t>
        </is>
      </c>
      <c r="AW77" s="98" t="inlineStr">
        <is>
          <t>Y</t>
        </is>
      </c>
      <c r="AX77" s="98" t="inlineStr">
        <is>
          <t>2026-10-13 23:39:36</t>
        </is>
      </c>
      <c r="AY77" s="105" t="n"/>
      <c r="AZ77" s="105" t="n"/>
      <c r="BA77" s="104" t="n"/>
      <c r="BB77" s="104" t="n"/>
      <c r="BC77" s="90">
        <f>IF(AND(ISNUMBER(BA77),ISNUMBER(BB77),N(BA77)&gt;0),1-BB77/BA77,"")</f>
        <v/>
      </c>
      <c r="BD77" s="102" t="n">
        <v>169693</v>
      </c>
      <c r="BE77" s="102" t="n">
        <v>156922</v>
      </c>
      <c r="BF77" s="103">
        <f>IF(AND(ISNUMBER(BD77),ISNUMBER(BE77),N(BE77)&gt;0),BD77/BE77,"")</f>
        <v/>
      </c>
      <c r="BG77" s="100" t="inlineStr">
        <is>
          <t>Y</t>
        </is>
      </c>
      <c r="BH77" s="100" t="inlineStr">
        <is>
          <t>No Buy Box history in Keepa for BFCM 2025</t>
        </is>
      </c>
    </row>
    <row r="78" ht="62" customHeight="1">
      <c r="A78" s="10">
        <f>_xlfn.IMAGE("https://m.media-amazon.com/images/I/81Cb8CjVwcL._AC_SL1500_.jpg")</f>
        <v/>
      </c>
      <c r="B78" s="86" t="inlineStr">
        <is>
          <t>DJY</t>
        </is>
      </c>
      <c r="C78" s="32" t="inlineStr">
        <is>
          <t>Bamboo Sheets</t>
        </is>
      </c>
      <c r="D78" s="86" t="inlineStr">
        <is>
          <t>Poor</t>
        </is>
      </c>
      <c r="E78" s="87" t="inlineStr">
        <is>
          <t>B0DHCGW8HR</t>
        </is>
      </c>
      <c r="F78" s="87" t="inlineStr">
        <is>
          <t>B0DHCG7VDK</t>
        </is>
      </c>
      <c r="G78" s="86" t="inlineStr">
        <is>
          <t>Queen</t>
        </is>
      </c>
      <c r="H78" s="86" t="inlineStr">
        <is>
          <t>Green</t>
        </is>
      </c>
      <c r="I78" s="88" t="n"/>
      <c r="J78" s="32" t="inlineStr"/>
      <c r="K78" s="89" t="n">
        <v>29.85</v>
      </c>
      <c r="L78" s="89" t="n"/>
      <c r="M78" s="90">
        <f>IF(AND(ISNUMBER(L78),ISNUMBER(K78),N(K78)&gt;0),L78/K78-1,"")</f>
        <v/>
      </c>
      <c r="N78" s="91">
        <f>IF(M78="","No List Price",IF(M78&lt;=0,"At/below price",IF(M78&lt;=0.12,"&lt;=12% STR zone",IF(M78&lt;=0.25,"12-25%","&gt;25% over"))))</f>
        <v/>
      </c>
      <c r="O78" s="89" t="n">
        <v>41.99</v>
      </c>
      <c r="P78" s="92">
        <f>IF(AND(ISNUMBER(K78),ISNUMBER(O78),N(O78)&gt;0),K78/O78-1,"")</f>
        <v/>
      </c>
      <c r="Q78" s="32" t="inlineStr">
        <is>
          <t>Same size (Queen). Ours live: Helium 10 Xray, 2026-10-13; 5 children</t>
        </is>
      </c>
      <c r="R78" s="88" t="n">
        <v>159647</v>
      </c>
      <c r="S78" s="88" t="n">
        <v>5</v>
      </c>
      <c r="T78" s="93">
        <f>IF(AND(ISNUMBER(K78),ISNUMBER(S78)),K78*S78*52/12,"")</f>
        <v/>
      </c>
      <c r="U78" s="94" t="n">
        <v>4.6</v>
      </c>
      <c r="V78" s="88" t="n">
        <v>424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36.98</v>
      </c>
      <c r="AV78" s="98" t="inlineStr">
        <is>
          <t>none</t>
        </is>
      </c>
      <c r="AW78" s="98" t="inlineStr">
        <is>
          <t>Y</t>
        </is>
      </c>
      <c r="AX78" s="98" t="inlineStr">
        <is>
          <t>2026-10-13 23:40:07</t>
        </is>
      </c>
      <c r="AY78" s="100" t="inlineStr">
        <is>
          <t>Prime Exclusive Discount</t>
        </is>
      </c>
      <c r="AZ78" s="100" t="inlineStr">
        <is>
          <t>11-22 to 12-02</t>
        </is>
      </c>
      <c r="BA78" s="101" t="n">
        <v>36.98</v>
      </c>
      <c r="BB78" s="101" t="n">
        <v>28.47</v>
      </c>
      <c r="BC78" s="90">
        <f>IF(AND(ISNUMBER(BA78),ISNUMBER(BB78),N(BA78)&gt;0),1-BB78/BA78,"")</f>
        <v/>
      </c>
      <c r="BD78" s="102" t="n">
        <v>106632</v>
      </c>
      <c r="BE78" s="102" t="n">
        <v>55598</v>
      </c>
      <c r="BF78" s="103">
        <f>IF(AND(ISNUMBER(BD78),ISNUMBER(BE78),N(BE78)&gt;0),BD78/BE78,"")</f>
        <v/>
      </c>
      <c r="BG78" s="100" t="inlineStr">
        <is>
          <t>N</t>
        </is>
      </c>
      <c r="BH78" s="100" t="inlineStr">
        <is>
          <t>Coupon 20% (11-06 to 11-19); List Price $42.99</t>
        </is>
      </c>
    </row>
    <row r="80" ht="20" customHeight="1">
      <c r="A80" s="53" t="inlineStr">
        <is>
          <t>5 · WHAT THIS MEANS FOR BFCM</t>
        </is>
      </c>
    </row>
    <row r="81" ht="30" customHeight="1">
      <c r="A81" s="107" t="inlineStr">
        <is>
          <t>•  Who sells most: Love's cabin ~809/wk at $25.99 (List $31.99, +23%); FLYMME ~347/wk at $27.99; WDCOZY ~347/wk at $44.99; WRENSONGE ~220/wk at $39.99; akkialla ~197/wk at $27.99. Tracked rivals ~2,924 units/wk; we sell ~8/wk (0.3% of the tracked set).</t>
        </is>
      </c>
    </row>
    <row r="82" ht="18" customHeight="1">
      <c r="A82" s="107" t="inlineStr">
        <is>
          <t>•  Strikethrough: 3 of 19 rivals set a List Price above price; 2 within 12%: Exclusivo Mezcla +11%, EverGrace +5%.</t>
        </is>
      </c>
    </row>
    <row r="83" ht="30" customHeight="1">
      <c r="A83" s="107" t="inlineStr">
        <is>
          <t>•  Price: 13 of 19 rivals sit below our price today (same size where the title states one). Cheapest strong rivals: Exclusivo Mezcla $25.19, Love's cabin $25.99, FLYMME $27.99, Wake In Cloud $27.99.</t>
        </is>
      </c>
    </row>
    <row r="84" ht="30" customHeight="1">
      <c r="A84"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5" ht="18" customHeight="1">
      <c r="A85" s="107" t="inlineStr">
        <is>
          <t>•  Search: we lose most shared keywords to WDCOZY (we win 11, lose 355). Biggest ad gaps (they advertise where we don't or harder): WDCOZY 225 + 0 KWs.</t>
        </is>
      </c>
    </row>
    <row r="86" ht="30" customHeight="1">
      <c r="A86" s="107" t="inlineStr">
        <is>
          <t>•  BFCM 2025, 17 rivals with Keepa history: Prime Exclusive Discount 8, None 4, Price cut only 4, Coupon only 1. Median depth vs their Nov 1-19 price 10%; median BSR lift 0.94x. 4 raised their Buy Box in BFCM week, so their deal looked deeper than it was.</t>
        </is>
      </c>
    </row>
    <row r="87" ht="18" customHeight="1">
      <c r="A87" s="107" t="inlineStr">
        <is>
          <t>•  1 rival not in the Keepa pulls yet (yellow BFCM 2025 columns) - remaining P2 batches, AGENT_PROMPTS Prompt 2.</t>
        </is>
      </c>
    </row>
  </sheetData>
  <autoFilter ref="B59:BH78"/>
  <mergeCells count="70">
    <mergeCell ref="A83:BH83"/>
    <mergeCell ref="A15:BH15"/>
    <mergeCell ref="A41:C41"/>
    <mergeCell ref="A51:BH51"/>
    <mergeCell ref="A46:C46"/>
    <mergeCell ref="A82:BH82"/>
    <mergeCell ref="L5:Q5"/>
    <mergeCell ref="A1:BH1"/>
    <mergeCell ref="Q11:T11"/>
    <mergeCell ref="L8:Q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6:BH56"/>
    <mergeCell ref="T6:Y6"/>
    <mergeCell ref="A57:BH57"/>
    <mergeCell ref="A44:C44"/>
    <mergeCell ref="A86:BH86"/>
    <mergeCell ref="D5:I5"/>
    <mergeCell ref="AR58:AX58"/>
    <mergeCell ref="A85:BH85"/>
    <mergeCell ref="M11:P11"/>
    <mergeCell ref="U11:X11"/>
    <mergeCell ref="A48:C48"/>
    <mergeCell ref="E13:H13"/>
    <mergeCell ref="A53:BH53"/>
    <mergeCell ref="D10:I10"/>
    <mergeCell ref="L7:Q7"/>
    <mergeCell ref="T5:Y5"/>
    <mergeCell ref="A49:C49"/>
    <mergeCell ref="A81:BH81"/>
    <mergeCell ref="A52:BH52"/>
    <mergeCell ref="A12:D12"/>
    <mergeCell ref="M13:P13"/>
    <mergeCell ref="AY58:BH58"/>
    <mergeCell ref="I12:L12"/>
    <mergeCell ref="U13:X13"/>
    <mergeCell ref="M12:P12"/>
    <mergeCell ref="T4:Y4"/>
    <mergeCell ref="A40:BH40"/>
    <mergeCell ref="D6:I6"/>
    <mergeCell ref="K58:W58"/>
    <mergeCell ref="E11:H11"/>
    <mergeCell ref="A58:H58"/>
  </mergeCells>
  <conditionalFormatting sqref="N60:N78">
    <cfRule type="expression" priority="1" dxfId="1">
      <formula>N60="&lt;=12% STR zone"</formula>
    </cfRule>
  </conditionalFormatting>
  <conditionalFormatting sqref="W60:W78">
    <cfRule type="expression" priority="2" dxfId="0">
      <formula>AND(ISNUMBER(W60),W60&lt;DATE(2026,10,6))</formula>
    </cfRule>
  </conditionalFormatting>
  <conditionalFormatting sqref="Q60:Q78">
    <cfRule type="expression" priority="3" dxfId="0">
      <formula>ISNUMBER(SEARCH("STALE",Q60))</formula>
    </cfRule>
  </conditionalFormatting>
  <conditionalFormatting sqref="P60:P78">
    <cfRule type="expression" priority="4" dxfId="0">
      <formula>AND(ISNUMBER(P60),P60&lt;0)</formula>
    </cfRule>
  </conditionalFormatting>
  <dataValidations count="3">
    <dataValidation sqref="AR60:AR78 BG60:BG78" showDropDown="0" showInputMessage="0" showErrorMessage="0" allowBlank="1" type="list">
      <formula1>"Y,N"</formula1>
    </dataValidation>
    <dataValidation sqref="AS60:AS78" showDropDown="0" showInputMessage="0" showErrorMessage="0" allowBlank="1" type="list">
      <formula1>"List Price,Typical price,Was price,None"</formula1>
    </dataValidation>
    <dataValidation sqref="AY6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 xmlns:r="http://schemas.openxmlformats.org/officeDocument/2006/relationships" ref="E78" r:id="rId38"/>
    <hyperlink xmlns:r="http://schemas.openxmlformats.org/officeDocument/2006/relationships" ref="F78"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Linen Curtains  ·  Amazon.com (US)  ·  Other  ·  BFCM role: Liquidation  ·  Scope: Other</t>
        </is>
      </c>
    </row>
    <row r="2">
      <c r="A2" s="52" t="inlineStr">
        <is>
          <t>← Dashboard</t>
        </is>
      </c>
    </row>
    <row r="3" ht="20" customHeight="1">
      <c r="A3" s="53"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4" t="inlineStr">
        <is>
          <t>52x108, 52x120, 52x63, 52x72, 52x84, 52x90, 52x96</t>
        </is>
      </c>
      <c r="S4" s="11" t="inlineStr">
        <is>
          <t>Break-even ACoS</t>
        </is>
      </c>
      <c r="T4" s="54" t="inlineStr">
        <is>
          <t>-77%</t>
        </is>
      </c>
    </row>
    <row r="5" ht="22" customHeight="1">
      <c r="C5" s="11" t="inlineStr">
        <is>
          <t>Brand</t>
        </is>
      </c>
      <c r="D5" s="54" t="inlineStr">
        <is>
          <t>Decolure</t>
        </is>
      </c>
      <c r="K5" s="11" t="inlineStr">
        <is>
          <t>Colours</t>
        </is>
      </c>
      <c r="L5" s="54" t="inlineStr">
        <is>
          <t>Beige, Ivory, Light Beige, Light Grey, Linen, Natural</t>
        </is>
      </c>
      <c r="S5" s="11" t="inlineStr">
        <is>
          <t>Units last 28 days</t>
        </is>
      </c>
      <c r="T5" s="54" t="inlineStr">
        <is>
          <t>12</t>
        </is>
      </c>
    </row>
    <row r="6" ht="22" customHeight="1">
      <c r="C6" s="11" t="inlineStr">
        <is>
          <t>Marketplace</t>
        </is>
      </c>
      <c r="D6" s="54" t="inlineStr">
        <is>
          <t>Amazon.com (US)</t>
        </is>
      </c>
      <c r="K6" s="11" t="inlineStr">
        <is>
          <t>Price now, best child</t>
        </is>
      </c>
      <c r="L6" s="54" t="inlineStr">
        <is>
          <t>$34.99 (Helium 10 Xray, 2026-10-13)</t>
        </is>
      </c>
      <c r="S6" s="11" t="inlineStr">
        <is>
          <t>Command Center product ASIN</t>
        </is>
      </c>
      <c r="T6" s="54" t="inlineStr">
        <is>
          <t>B0F6371Q67 (one of our child ASINs, not the Amazon parent)</t>
        </is>
      </c>
    </row>
    <row r="7" ht="22" customHeight="1">
      <c r="C7" s="11" t="inlineStr">
        <is>
          <t>Parent ASIN (Amazon)</t>
        </is>
      </c>
      <c r="D7" s="54" t="inlineStr">
        <is>
          <t>B0H2Z62MJZ</t>
        </is>
      </c>
      <c r="K7" s="11" t="inlineStr">
        <is>
          <t>Rating / reviews now</t>
        </is>
      </c>
      <c r="L7" s="54" t="inlineStr">
        <is>
          <t>4.7 / 586 (Helium 10 Xray, 2026-10-13)</t>
        </is>
      </c>
    </row>
    <row r="8" ht="22" customHeight="1">
      <c r="C8" s="11" t="inlineStr">
        <is>
          <t>Best-selling child ASIN</t>
        </is>
      </c>
      <c r="D8" s="54" t="inlineStr">
        <is>
          <t>B0F63C8HL2</t>
        </is>
      </c>
      <c r="K8" s="11" t="inlineStr">
        <is>
          <t>Live prices held</t>
        </is>
      </c>
      <c r="L8" s="54" t="inlineStr">
        <is>
          <t>37 of 42 variations</t>
        </is>
      </c>
    </row>
    <row r="9" ht="22" customHeight="1">
      <c r="C9" s="11" t="inlineStr">
        <is>
          <t>Stage</t>
        </is>
      </c>
      <c r="D9" s="54" t="inlineStr">
        <is>
          <t>Liquidation</t>
        </is>
      </c>
      <c r="K9" s="11" t="inlineStr">
        <is>
          <t>Blended price (Command Center)</t>
        </is>
      </c>
      <c r="L9" s="54" t="inlineStr">
        <is>
          <t>$29.82 - fee feed as of 2026-03-30, STALE</t>
        </is>
      </c>
    </row>
    <row r="10">
      <c r="C10" s="11" t="inlineStr">
        <is>
          <t>Total variations (SKUs)</t>
        </is>
      </c>
      <c r="D10" s="54" t="n">
        <v>42</v>
      </c>
      <c r="K10" s="11" t="inlineStr">
        <is>
          <t>Contribution / unit</t>
        </is>
      </c>
      <c r="L10" s="54" t="inlineStr">
        <is>
          <t>$-0.23</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21</t>
        </is>
      </c>
      <c r="Q12" s="56" t="inlineStr">
        <is>
          <t>16</t>
        </is>
      </c>
      <c r="U12" s="56" t="inlineStr">
        <is>
          <t>1</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(42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59" t="n">
        <v>28.99</v>
      </c>
      <c r="H18" s="32" t="inlineStr">
        <is>
          <t>Helium 10 Xray, 2026-10-13</t>
        </is>
      </c>
      <c r="I18" s="60" t="n">
        <v>28.99</v>
      </c>
      <c r="J18" s="61" t="inlineStr">
        <is>
          <t>2026-03-30</t>
        </is>
      </c>
      <c r="K18" s="33" t="n">
        <v>0.6699999999999982</v>
      </c>
      <c r="L18" s="62" t="n">
        <v>0.02311141773025175</v>
      </c>
      <c r="M18" s="63" t="n">
        <v>3</v>
      </c>
      <c r="N18" s="32" t="inlineStr">
        <is>
          <t>Active</t>
        </is>
      </c>
      <c r="O18" s="32" t="n"/>
      <c r="P18" s="64" t="n">
        <v>4.7</v>
      </c>
      <c r="Q18" s="63" t="n">
        <v>586</v>
      </c>
      <c r="R18" s="63" t="n">
        <v>603113</v>
      </c>
      <c r="S18" s="63"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59" t="n">
        <v>34.99</v>
      </c>
      <c r="H19" s="32" t="inlineStr">
        <is>
          <t>Helium 10 Xray, 2026-10-13</t>
        </is>
      </c>
      <c r="I19" s="60" t="n">
        <v>29.99</v>
      </c>
      <c r="J19" s="61" t="inlineStr">
        <is>
          <t>2026-03-30</t>
        </is>
      </c>
      <c r="K19" s="33" t="n">
        <v>-2.230000000000004</v>
      </c>
      <c r="L19" s="62" t="n">
        <v>-0.07435811937312452</v>
      </c>
      <c r="M19" s="63" t="n">
        <v>2</v>
      </c>
      <c r="N19" s="32" t="inlineStr">
        <is>
          <t>Active</t>
        </is>
      </c>
      <c r="O19" s="32" t="n"/>
      <c r="P19" s="64" t="n">
        <v>4.7</v>
      </c>
      <c r="Q19" s="63" t="n">
        <v>586</v>
      </c>
      <c r="R19" s="63" t="n">
        <v>603113</v>
      </c>
      <c r="S19" s="63"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59" t="n">
        <v>28.99</v>
      </c>
      <c r="H20" s="32" t="inlineStr">
        <is>
          <t>Helium 10 Xray, 2026-10-13</t>
        </is>
      </c>
      <c r="I20" s="60" t="n">
        <v>28.99</v>
      </c>
      <c r="J20" s="61" t="inlineStr">
        <is>
          <t>2026-03-30</t>
        </is>
      </c>
      <c r="K20" s="33" t="n">
        <v>0.6699999999999982</v>
      </c>
      <c r="L20" s="62" t="n">
        <v>0.02311141773025175</v>
      </c>
      <c r="M20" s="63" t="n">
        <v>2</v>
      </c>
      <c r="N20" s="32" t="inlineStr">
        <is>
          <t>Active</t>
        </is>
      </c>
      <c r="O20" s="32" t="n"/>
      <c r="P20" s="64" t="n">
        <v>4.7</v>
      </c>
      <c r="Q20" s="63" t="n">
        <v>586</v>
      </c>
      <c r="R20" s="63" t="n">
        <v>603113</v>
      </c>
      <c r="S20" s="63"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59" t="n">
        <v>29.99</v>
      </c>
      <c r="H21" s="32" t="inlineStr">
        <is>
          <t>Helium 10 Xray, 2026-10-13</t>
        </is>
      </c>
      <c r="I21" s="60" t="n">
        <v>29.99</v>
      </c>
      <c r="J21" s="61" t="inlineStr">
        <is>
          <t>2026-03-30</t>
        </is>
      </c>
      <c r="K21" s="33" t="n">
        <v>0.4499999999999957</v>
      </c>
      <c r="L21" s="62" t="n">
        <v>0.01500500166722227</v>
      </c>
      <c r="M21" s="63" t="n">
        <v>2</v>
      </c>
      <c r="N21" s="32" t="inlineStr">
        <is>
          <t>Active</t>
        </is>
      </c>
      <c r="O21" s="32" t="n"/>
      <c r="P21" s="64" t="n">
        <v>4.7</v>
      </c>
      <c r="Q21" s="63" t="n">
        <v>586</v>
      </c>
      <c r="R21" s="63" t="n">
        <v>603113</v>
      </c>
      <c r="S21" s="63"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59" t="n">
        <v>39.99</v>
      </c>
      <c r="H22" s="32" t="inlineStr">
        <is>
          <t>Helium 10 Xray, 2026-10-13</t>
        </is>
      </c>
      <c r="I22" s="60" t="n">
        <v>34.99</v>
      </c>
      <c r="J22" s="61" t="inlineStr">
        <is>
          <t>2026-03-30</t>
        </is>
      </c>
      <c r="K22" s="33" t="n">
        <v>-0.4999999999999964</v>
      </c>
      <c r="L22" s="62" t="n">
        <v>-1.428979708488129</v>
      </c>
      <c r="M22" s="63" t="n">
        <v>1</v>
      </c>
      <c r="N22" s="32" t="inlineStr">
        <is>
          <t>Active</t>
        </is>
      </c>
      <c r="O22" s="32" t="n"/>
      <c r="P22" s="64" t="n">
        <v>4.7</v>
      </c>
      <c r="Q22" s="63" t="n">
        <v>586</v>
      </c>
      <c r="R22" s="63" t="n">
        <v>603121</v>
      </c>
      <c r="S22" s="63"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59" t="n">
        <v>28.99</v>
      </c>
      <c r="H23" s="32" t="inlineStr">
        <is>
          <t>Helium 10 Xray, 2026-10-13</t>
        </is>
      </c>
      <c r="I23" s="60" t="n">
        <v>28.99</v>
      </c>
      <c r="J23" s="61" t="inlineStr">
        <is>
          <t>2026-03-30</t>
        </is>
      </c>
      <c r="K23" s="33" t="n">
        <v>0.6699999999999982</v>
      </c>
      <c r="L23" s="62" t="n">
        <v>0.02311141773025175</v>
      </c>
      <c r="M23" s="63" t="n">
        <v>1</v>
      </c>
      <c r="N23" s="32" t="inlineStr">
        <is>
          <t>Active</t>
        </is>
      </c>
      <c r="O23" s="32" t="n"/>
      <c r="P23" s="64" t="n">
        <v>4.7</v>
      </c>
      <c r="Q23" s="63" t="n">
        <v>586</v>
      </c>
      <c r="R23" s="63" t="n">
        <v>603113</v>
      </c>
      <c r="S23" s="63"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59" t="n">
        <v>32.99</v>
      </c>
      <c r="H24" s="32" t="inlineStr">
        <is>
          <t>Helium 10 Xray, 2026-10-13</t>
        </is>
      </c>
      <c r="I24" s="60" t="n">
        <v>28.99</v>
      </c>
      <c r="J24" s="61" t="inlineStr">
        <is>
          <t>2026-03-30</t>
        </is>
      </c>
      <c r="K24" s="33" t="n">
        <v>-2.719999999999999</v>
      </c>
      <c r="L24" s="62" t="n">
        <v>-0.09382545705415657</v>
      </c>
      <c r="M24" s="63" t="n">
        <v>1</v>
      </c>
      <c r="N24" s="32" t="inlineStr">
        <is>
          <t>Active</t>
        </is>
      </c>
      <c r="O24" s="32" t="n"/>
      <c r="P24" s="64" t="n">
        <v>4.7</v>
      </c>
      <c r="Q24" s="63" t="n">
        <v>586</v>
      </c>
      <c r="R24" s="63" t="n">
        <v>603113</v>
      </c>
      <c r="S24" s="63"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59" t="n">
        <v>34.99</v>
      </c>
      <c r="H25" s="32" t="inlineStr">
        <is>
          <t>Helium 10 Xray, 2026-10-13</t>
        </is>
      </c>
      <c r="I25" s="60" t="n">
        <v>32.99</v>
      </c>
      <c r="J25" s="61" t="inlineStr">
        <is>
          <t>2026-03-30</t>
        </is>
      </c>
      <c r="K25" s="33" t="n">
        <v>0.3000000000000007</v>
      </c>
      <c r="L25" s="62" t="n">
        <v>0.9093664746893019</v>
      </c>
      <c r="M25" s="63" t="n">
        <v>0</v>
      </c>
      <c r="N25" s="32" t="inlineStr">
        <is>
          <t>Active</t>
        </is>
      </c>
      <c r="O25" s="32" t="n"/>
      <c r="P25" s="64" t="n">
        <v>4.7</v>
      </c>
      <c r="Q25" s="63" t="n">
        <v>586</v>
      </c>
      <c r="R25" s="63" t="n">
        <v>603113</v>
      </c>
      <c r="S25" s="63"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59" t="n">
        <v>34.99</v>
      </c>
      <c r="H26" s="32" t="inlineStr">
        <is>
          <t>Helium 10 Xray, 2026-10-13</t>
        </is>
      </c>
      <c r="I26" s="60" t="n">
        <v>32.99</v>
      </c>
      <c r="J26" s="61" t="inlineStr">
        <is>
          <t>2026-03-30</t>
        </is>
      </c>
      <c r="K26" s="33" t="n"/>
      <c r="L26" s="62" t="n"/>
      <c r="M26" s="63" t="n">
        <v>0</v>
      </c>
      <c r="N26" s="32" t="inlineStr">
        <is>
          <t>Active</t>
        </is>
      </c>
      <c r="O26" s="32" t="n"/>
      <c r="P26" s="64" t="n">
        <v>4.7</v>
      </c>
      <c r="Q26" s="63" t="n">
        <v>586</v>
      </c>
      <c r="R26" s="63" t="n">
        <v>603113</v>
      </c>
      <c r="S26" s="63"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59" t="n">
        <v>34.99</v>
      </c>
      <c r="H27" s="32" t="inlineStr">
        <is>
          <t>Helium 10 Xray, 2026-10-13</t>
        </is>
      </c>
      <c r="I27" s="60" t="n">
        <v>32.99</v>
      </c>
      <c r="J27" s="61" t="inlineStr">
        <is>
          <t>2026-03-30</t>
        </is>
      </c>
      <c r="K27" s="33" t="n">
        <v>0.3200000000000003</v>
      </c>
      <c r="L27" s="62" t="n">
        <v>0.969990906335254</v>
      </c>
      <c r="M27" s="63" t="n">
        <v>0</v>
      </c>
      <c r="N27" s="32" t="inlineStr">
        <is>
          <t>Active</t>
        </is>
      </c>
      <c r="O27" s="32" t="n"/>
      <c r="P27" s="64" t="n">
        <v>4.7</v>
      </c>
      <c r="Q27" s="63" t="n">
        <v>586</v>
      </c>
      <c r="R27" s="63" t="n">
        <v>603113</v>
      </c>
      <c r="S27" s="63"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59" t="n">
        <v>34.99</v>
      </c>
      <c r="H28" s="32" t="inlineStr">
        <is>
          <t>Helium 10 Xray, 2026-10-13</t>
        </is>
      </c>
      <c r="I28" s="60" t="n">
        <v>29.99</v>
      </c>
      <c r="J28" s="61" t="inlineStr">
        <is>
          <t>2026-03-30</t>
        </is>
      </c>
      <c r="K28" s="33" t="n"/>
      <c r="L28" s="62" t="n"/>
      <c r="M28" s="63" t="n">
        <v>0</v>
      </c>
      <c r="N28" s="32" t="inlineStr">
        <is>
          <t>Active</t>
        </is>
      </c>
      <c r="O28" s="32" t="n"/>
      <c r="P28" s="64" t="n">
        <v>4.7</v>
      </c>
      <c r="Q28" s="63" t="n">
        <v>586</v>
      </c>
      <c r="R28" s="63" t="n">
        <v>603113</v>
      </c>
      <c r="S28" s="63"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0" t="n">
        <v>29.95</v>
      </c>
      <c r="J29" s="61" t="inlineStr">
        <is>
          <t>2026-03-30</t>
        </is>
      </c>
      <c r="K29" s="33" t="n">
        <v>-2.260000000000002</v>
      </c>
      <c r="L29" s="62" t="n">
        <v>-0.07545909849749588</v>
      </c>
      <c r="M29" s="63" t="n"/>
      <c r="N29" s="32" t="inlineStr">
        <is>
          <t>Inactive</t>
        </is>
      </c>
      <c r="O29" s="32" t="n"/>
      <c r="P29" s="64" t="n"/>
      <c r="Q29" s="63" t="n"/>
      <c r="R29" s="63" t="n"/>
      <c r="S29" s="63"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59" t="n">
        <v>39.99</v>
      </c>
      <c r="H30" s="32" t="inlineStr">
        <is>
          <t>Helium 10 Xray, 2026-10-13</t>
        </is>
      </c>
      <c r="I30" s="60" t="n">
        <v>34.99</v>
      </c>
      <c r="J30" s="61" t="inlineStr">
        <is>
          <t>2026-03-30</t>
        </is>
      </c>
      <c r="K30" s="33" t="n">
        <v>-0.01999999999999957</v>
      </c>
      <c r="L30" s="62" t="n">
        <v>-0.05715918833952435</v>
      </c>
      <c r="M30" s="63" t="n">
        <v>0</v>
      </c>
      <c r="N30" s="32" t="inlineStr">
        <is>
          <t>Active</t>
        </is>
      </c>
      <c r="O30" s="32" t="n"/>
      <c r="P30" s="64" t="n">
        <v>4.7</v>
      </c>
      <c r="Q30" s="63" t="n">
        <v>586</v>
      </c>
      <c r="R30" s="63" t="n">
        <v>603113</v>
      </c>
      <c r="S30" s="63"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59" t="n">
        <v>39.99</v>
      </c>
      <c r="H31" s="32" t="inlineStr">
        <is>
          <t>Helium 10 Xray, 2026-10-13</t>
        </is>
      </c>
      <c r="I31" s="60" t="n">
        <v>31.95</v>
      </c>
      <c r="J31" s="61" t="inlineStr">
        <is>
          <t>2026-03-30</t>
        </is>
      </c>
      <c r="K31" s="33" t="n">
        <v>-2.600000000000001</v>
      </c>
      <c r="L31" s="62" t="n">
        <v>-0.08137715179968706</v>
      </c>
      <c r="M31" s="63" t="n">
        <v>0</v>
      </c>
      <c r="N31" s="32" t="inlineStr">
        <is>
          <t>Active</t>
        </is>
      </c>
      <c r="O31" s="32" t="n"/>
      <c r="P31" s="64" t="n">
        <v>4.7</v>
      </c>
      <c r="Q31" s="63" t="n">
        <v>586</v>
      </c>
      <c r="R31" s="63" t="n">
        <v>603121</v>
      </c>
      <c r="S31" s="63"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59" t="n">
        <v>39.99</v>
      </c>
      <c r="H32" s="32" t="inlineStr">
        <is>
          <t>Helium 10 Xray, 2026-10-13</t>
        </is>
      </c>
      <c r="I32" s="60" t="n">
        <v>34.99</v>
      </c>
      <c r="J32" s="61" t="inlineStr">
        <is>
          <t>2026-03-30</t>
        </is>
      </c>
      <c r="K32" s="33" t="n">
        <v>-0.01999999999999957</v>
      </c>
      <c r="L32" s="62" t="n">
        <v>-0.05715918833952435</v>
      </c>
      <c r="M32" s="63" t="n">
        <v>0</v>
      </c>
      <c r="N32" s="32" t="inlineStr">
        <is>
          <t>Active</t>
        </is>
      </c>
      <c r="O32" s="32" t="n"/>
      <c r="P32" s="64" t="n">
        <v>4.7</v>
      </c>
      <c r="Q32" s="63" t="n">
        <v>586</v>
      </c>
      <c r="R32" s="63" t="n">
        <v>603113</v>
      </c>
      <c r="S32" s="63"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59" t="n">
        <v>39.99</v>
      </c>
      <c r="H33" s="32" t="inlineStr">
        <is>
          <t>Helium 10 Xray, 2026-10-13</t>
        </is>
      </c>
      <c r="I33" s="60" t="n">
        <v>34.99</v>
      </c>
      <c r="J33" s="61" t="inlineStr">
        <is>
          <t>2026-03-30</t>
        </is>
      </c>
      <c r="K33" s="33" t="n">
        <v>-0.2399999999999984</v>
      </c>
      <c r="L33" s="62" t="n">
        <v>-0.6859102600743024</v>
      </c>
      <c r="M33" s="63" t="n">
        <v>0</v>
      </c>
      <c r="N33" s="32" t="inlineStr">
        <is>
          <t>Active</t>
        </is>
      </c>
      <c r="O33" s="32" t="n"/>
      <c r="P33" s="64" t="n">
        <v>4.7</v>
      </c>
      <c r="Q33" s="63" t="n">
        <v>586</v>
      </c>
      <c r="R33" s="63" t="n">
        <v>603113</v>
      </c>
      <c r="S33" s="63"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59" t="n">
        <v>39.99</v>
      </c>
      <c r="H34" s="32" t="inlineStr">
        <is>
          <t>Helium 10 Xray, 2026-10-13</t>
        </is>
      </c>
      <c r="I34" s="60" t="n">
        <v>34.99</v>
      </c>
      <c r="J34" s="61" t="inlineStr">
        <is>
          <t>2026-03-30</t>
        </is>
      </c>
      <c r="K34" s="33" t="n">
        <v>-0.01999999999999957</v>
      </c>
      <c r="L34" s="62" t="n">
        <v>-0.05715918833952435</v>
      </c>
      <c r="M34" s="63" t="n">
        <v>0</v>
      </c>
      <c r="N34" s="32" t="inlineStr">
        <is>
          <t>Active</t>
        </is>
      </c>
      <c r="O34" s="32" t="n"/>
      <c r="P34" s="64" t="n">
        <v>4.7</v>
      </c>
      <c r="Q34" s="63" t="n">
        <v>586</v>
      </c>
      <c r="R34" s="63" t="n">
        <v>603113</v>
      </c>
      <c r="S34" s="63"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0" t="n">
        <v>27.99</v>
      </c>
      <c r="J35" s="61" t="inlineStr">
        <is>
          <t>2026-03-30</t>
        </is>
      </c>
      <c r="K35" s="33" t="n">
        <v>1.059999999999999</v>
      </c>
      <c r="L35" s="62" t="n">
        <v>0.03787066809574844</v>
      </c>
      <c r="M35" s="63" t="n"/>
      <c r="N35" s="32" t="inlineStr">
        <is>
          <t>Inactive</t>
        </is>
      </c>
      <c r="O35" s="32" t="n"/>
      <c r="P35" s="64" t="n"/>
      <c r="Q35" s="63" t="n"/>
      <c r="R35" s="63" t="n"/>
      <c r="S35" s="63"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0" t="n">
        <v>27.99</v>
      </c>
      <c r="J36" s="61" t="inlineStr">
        <is>
          <t>2026-03-30</t>
        </is>
      </c>
      <c r="K36" s="33" t="n">
        <v>-0.610000000000003</v>
      </c>
      <c r="L36" s="62" t="n">
        <v>-0.02179349767774216</v>
      </c>
      <c r="M36" s="63" t="n"/>
      <c r="N36" s="32" t="inlineStr">
        <is>
          <t>Inactive</t>
        </is>
      </c>
      <c r="O36" s="32" t="n"/>
      <c r="P36" s="64" t="n"/>
      <c r="Q36" s="63" t="n"/>
      <c r="R36" s="63" t="n"/>
      <c r="S36" s="63"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59" t="n">
        <v>27.99</v>
      </c>
      <c r="H37" s="32" t="inlineStr">
        <is>
          <t>Helium 10 Xray, 2026-10-13</t>
        </is>
      </c>
      <c r="I37" s="60" t="n">
        <v>27.99</v>
      </c>
      <c r="J37" s="61" t="inlineStr">
        <is>
          <t>2026-03-30</t>
        </is>
      </c>
      <c r="K37" s="33" t="n">
        <v>0.9699999999999989</v>
      </c>
      <c r="L37" s="62" t="n">
        <v>0.03465523401214716</v>
      </c>
      <c r="M37" s="63" t="n">
        <v>0</v>
      </c>
      <c r="N37" s="32" t="inlineStr">
        <is>
          <t>Active</t>
        </is>
      </c>
      <c r="O37" s="32" t="n"/>
      <c r="P37" s="64" t="n">
        <v>4.7</v>
      </c>
      <c r="Q37" s="63" t="n">
        <v>586</v>
      </c>
      <c r="R37" s="63" t="n">
        <v>603121</v>
      </c>
      <c r="S37" s="63"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59" t="n">
        <v>27.99</v>
      </c>
      <c r="H38" s="32" t="inlineStr">
        <is>
          <t>Helium 10 Xray, 2026-10-13</t>
        </is>
      </c>
      <c r="I38" s="60" t="n">
        <v>27.99</v>
      </c>
      <c r="J38" s="61" t="inlineStr">
        <is>
          <t>2026-03-30</t>
        </is>
      </c>
      <c r="K38" s="33" t="n">
        <v>0.9699999999999989</v>
      </c>
      <c r="L38" s="62" t="n">
        <v>0.03465523401214716</v>
      </c>
      <c r="M38" s="63" t="n">
        <v>0</v>
      </c>
      <c r="N38" s="32" t="inlineStr">
        <is>
          <t>Active</t>
        </is>
      </c>
      <c r="O38" s="32" t="n"/>
      <c r="P38" s="64" t="n">
        <v>4.7</v>
      </c>
      <c r="Q38" s="63" t="n">
        <v>586</v>
      </c>
      <c r="R38" s="63" t="n">
        <v>603113</v>
      </c>
      <c r="S38" s="63"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59" t="n">
        <v>27.99</v>
      </c>
      <c r="H39" s="32" t="inlineStr">
        <is>
          <t>Helium 10 Xray, 2026-10-13</t>
        </is>
      </c>
      <c r="I39" s="60" t="n">
        <v>27.99</v>
      </c>
      <c r="J39" s="61" t="inlineStr">
        <is>
          <t>2026-03-30</t>
        </is>
      </c>
      <c r="K39" s="33" t="n">
        <v>0.9699999999999989</v>
      </c>
      <c r="L39" s="62" t="n">
        <v>0.03465523401214716</v>
      </c>
      <c r="M39" s="63" t="n">
        <v>0</v>
      </c>
      <c r="N39" s="32" t="inlineStr">
        <is>
          <t>Active</t>
        </is>
      </c>
      <c r="O39" s="32" t="n"/>
      <c r="P39" s="64" t="n">
        <v>4.7</v>
      </c>
      <c r="Q39" s="63" t="n">
        <v>586</v>
      </c>
      <c r="R39" s="63" t="n">
        <v>603113</v>
      </c>
      <c r="S39" s="63"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0" t="n">
        <v>27.99</v>
      </c>
      <c r="J40" s="61" t="inlineStr">
        <is>
          <t>2026-03-30</t>
        </is>
      </c>
      <c r="K40" s="33" t="n">
        <v>1.059999999999999</v>
      </c>
      <c r="L40" s="62" t="n">
        <v>0.03787066809574844</v>
      </c>
      <c r="M40" s="63" t="n"/>
      <c r="N40" s="32" t="inlineStr">
        <is>
          <t>Inactive</t>
        </is>
      </c>
      <c r="O40" s="32" t="n"/>
      <c r="P40" s="64" t="n"/>
      <c r="Q40" s="63" t="n"/>
      <c r="R40" s="63" t="n"/>
      <c r="S40" s="63"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59" t="n">
        <v>28.99</v>
      </c>
      <c r="H41" s="32" t="inlineStr">
        <is>
          <t>Helium 10 Xray, 2026-10-13</t>
        </is>
      </c>
      <c r="I41" s="60" t="n">
        <v>28.99</v>
      </c>
      <c r="J41" s="61" t="inlineStr">
        <is>
          <t>2026-03-30</t>
        </is>
      </c>
      <c r="K41" s="33" t="n">
        <v>0.6699999999999982</v>
      </c>
      <c r="L41" s="62" t="n">
        <v>0.02311141773025175</v>
      </c>
      <c r="M41" s="63" t="n">
        <v>0</v>
      </c>
      <c r="N41" s="32" t="inlineStr">
        <is>
          <t>Active</t>
        </is>
      </c>
      <c r="O41" s="32" t="n"/>
      <c r="P41" s="64" t="n">
        <v>4.7</v>
      </c>
      <c r="Q41" s="63" t="n">
        <v>586</v>
      </c>
      <c r="R41" s="63" t="n">
        <v>603113</v>
      </c>
      <c r="S41" s="63"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59" t="n">
        <v>28.99</v>
      </c>
      <c r="H42" s="32" t="inlineStr">
        <is>
          <t>Helium 10 Xray, 2026-10-13</t>
        </is>
      </c>
      <c r="I42" s="60" t="n">
        <v>28.99</v>
      </c>
      <c r="J42" s="61" t="inlineStr">
        <is>
          <t>2026-03-30</t>
        </is>
      </c>
      <c r="K42" s="33" t="n">
        <v>0.6699999999999982</v>
      </c>
      <c r="L42" s="62" t="n">
        <v>0.02311141773025175</v>
      </c>
      <c r="M42" s="63" t="n">
        <v>0</v>
      </c>
      <c r="N42" s="32" t="inlineStr">
        <is>
          <t>Active</t>
        </is>
      </c>
      <c r="O42" s="32" t="n"/>
      <c r="P42" s="64" t="n">
        <v>4.7</v>
      </c>
      <c r="Q42" s="63" t="n">
        <v>586</v>
      </c>
      <c r="R42" s="63" t="n">
        <v>603113</v>
      </c>
      <c r="S42" s="63"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59" t="n">
        <v>28.99</v>
      </c>
      <c r="H43" s="32" t="inlineStr">
        <is>
          <t>Helium 10 Xray, 2026-10-13</t>
        </is>
      </c>
      <c r="I43" s="60" t="n">
        <v>28.99</v>
      </c>
      <c r="J43" s="61" t="inlineStr">
        <is>
          <t>2026-03-30</t>
        </is>
      </c>
      <c r="K43" s="33" t="n">
        <v>0.6699999999999982</v>
      </c>
      <c r="L43" s="62" t="n">
        <v>0.02311141773025175</v>
      </c>
      <c r="M43" s="63" t="n">
        <v>0</v>
      </c>
      <c r="N43" s="32" t="inlineStr">
        <is>
          <t>Active</t>
        </is>
      </c>
      <c r="O43" s="32" t="n"/>
      <c r="P43" s="64" t="n">
        <v>4.7</v>
      </c>
      <c r="Q43" s="63" t="n">
        <v>586</v>
      </c>
      <c r="R43" s="63" t="n">
        <v>603113</v>
      </c>
      <c r="S43" s="63"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59" t="n">
        <v>29.99</v>
      </c>
      <c r="H44" s="32" t="inlineStr">
        <is>
          <t>Helium 10 Xray, 2026-10-13</t>
        </is>
      </c>
      <c r="I44" s="60" t="n">
        <v>26.99</v>
      </c>
      <c r="J44" s="61" t="inlineStr">
        <is>
          <t>2026-03-30</t>
        </is>
      </c>
      <c r="K44" s="33" t="n">
        <v>-2.080000000000002</v>
      </c>
      <c r="L44" s="62" t="n">
        <v>-0.07706557984438689</v>
      </c>
      <c r="M44" s="63" t="n">
        <v>0</v>
      </c>
      <c r="N44" s="32" t="inlineStr">
        <is>
          <t>Active</t>
        </is>
      </c>
      <c r="O44" s="32" t="n"/>
      <c r="P44" s="64" t="n">
        <v>4.7</v>
      </c>
      <c r="Q44" s="63" t="n">
        <v>586</v>
      </c>
      <c r="R44" s="63" t="n">
        <v>603113</v>
      </c>
      <c r="S44" s="63"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59" t="n">
        <v>29.99</v>
      </c>
      <c r="H45" s="32" t="inlineStr">
        <is>
          <t>Helium 10 Xray, 2026-10-13</t>
        </is>
      </c>
      <c r="I45" s="60" t="n">
        <v>29.99</v>
      </c>
      <c r="J45" s="61" t="inlineStr">
        <is>
          <t>2026-03-30</t>
        </is>
      </c>
      <c r="K45" s="33" t="n">
        <v>0.4499999999999957</v>
      </c>
      <c r="L45" s="62" t="n">
        <v>0.01500500166722227</v>
      </c>
      <c r="M45" s="63" t="n">
        <v>0</v>
      </c>
      <c r="N45" s="32" t="inlineStr">
        <is>
          <t>Active</t>
        </is>
      </c>
      <c r="O45" s="32" t="n"/>
      <c r="P45" s="64" t="n">
        <v>4.7</v>
      </c>
      <c r="Q45" s="63" t="n">
        <v>586</v>
      </c>
      <c r="R45" s="63" t="n">
        <v>603113</v>
      </c>
      <c r="S45" s="63"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0" t="n">
        <v>29.99</v>
      </c>
      <c r="J46" s="61" t="inlineStr">
        <is>
          <t>2026-03-30</t>
        </is>
      </c>
      <c r="K46" s="33" t="n">
        <v>0.4699999999999989</v>
      </c>
      <c r="L46" s="62" t="n">
        <v>0.01567189063021003</v>
      </c>
      <c r="M46" s="63" t="n">
        <v>0</v>
      </c>
      <c r="N46" s="32" t="inlineStr">
        <is>
          <t>Active</t>
        </is>
      </c>
      <c r="O46" s="32" t="n"/>
      <c r="P46" s="64" t="n"/>
      <c r="Q46" s="63" t="n"/>
      <c r="R46" s="63" t="n"/>
      <c r="S46" s="63"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59" t="n">
        <v>29.99</v>
      </c>
      <c r="H47" s="32" t="inlineStr">
        <is>
          <t>Helium 10 Xray, 2026-10-13</t>
        </is>
      </c>
      <c r="I47" s="60" t="n">
        <v>29.99</v>
      </c>
      <c r="J47" s="61" t="inlineStr">
        <is>
          <t>2026-03-30</t>
        </is>
      </c>
      <c r="K47" s="33" t="n">
        <v>0.5999999999999979</v>
      </c>
      <c r="L47" s="62" t="n">
        <v>0.02000666888962981</v>
      </c>
      <c r="M47" s="63" t="n">
        <v>0</v>
      </c>
      <c r="N47" s="32" t="inlineStr">
        <is>
          <t>Active</t>
        </is>
      </c>
      <c r="O47" s="32" t="n"/>
      <c r="P47" s="64" t="n">
        <v>4.7</v>
      </c>
      <c r="Q47" s="63" t="n">
        <v>586</v>
      </c>
      <c r="R47" s="63" t="n">
        <v>603113</v>
      </c>
      <c r="S47" s="63"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59" t="n">
        <v>29.99</v>
      </c>
      <c r="H48" s="32" t="inlineStr">
        <is>
          <t>Helium 10 Xray, 2026-10-13</t>
        </is>
      </c>
      <c r="I48" s="60" t="n">
        <v>29.99</v>
      </c>
      <c r="J48" s="61" t="inlineStr">
        <is>
          <t>2026-03-30</t>
        </is>
      </c>
      <c r="K48" s="33" t="n">
        <v>0.509999999999998</v>
      </c>
      <c r="L48" s="62" t="n">
        <v>0.01700566855618533</v>
      </c>
      <c r="M48" s="63" t="n">
        <v>0</v>
      </c>
      <c r="N48" s="32" t="inlineStr">
        <is>
          <t>Active</t>
        </is>
      </c>
      <c r="O48" s="32" t="n"/>
      <c r="P48" s="64" t="n">
        <v>4.7</v>
      </c>
      <c r="Q48" s="63" t="n">
        <v>586</v>
      </c>
      <c r="R48" s="63" t="n">
        <v>603113</v>
      </c>
      <c r="S48" s="63"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59" t="n">
        <v>32.99</v>
      </c>
      <c r="H49" s="32" t="inlineStr">
        <is>
          <t>Helium 10 Xray, 2026-10-13</t>
        </is>
      </c>
      <c r="I49" s="60" t="n">
        <v>31.99</v>
      </c>
      <c r="J49" s="61" t="inlineStr">
        <is>
          <t>2026-03-30</t>
        </is>
      </c>
      <c r="K49" s="33" t="n">
        <v>0.269999999999996</v>
      </c>
      <c r="L49" s="62" t="n">
        <v>0.8440137542982057</v>
      </c>
      <c r="M49" s="63" t="n">
        <v>0</v>
      </c>
      <c r="N49" s="32" t="inlineStr">
        <is>
          <t>Active</t>
        </is>
      </c>
      <c r="O49" s="32" t="n"/>
      <c r="P49" s="64" t="n">
        <v>4.7</v>
      </c>
      <c r="Q49" s="63" t="n">
        <v>586</v>
      </c>
      <c r="R49" s="63" t="n">
        <v>603113</v>
      </c>
      <c r="S49" s="63"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59" t="n">
        <v>32.99</v>
      </c>
      <c r="H50" s="32" t="inlineStr">
        <is>
          <t>Helium 10 Xray, 2026-10-13</t>
        </is>
      </c>
      <c r="I50" s="60" t="n">
        <v>31.99</v>
      </c>
      <c r="J50" s="61" t="inlineStr">
        <is>
          <t>2026-03-30</t>
        </is>
      </c>
      <c r="K50" s="33" t="n">
        <v>-0.2200000000000024</v>
      </c>
      <c r="L50" s="62" t="n">
        <v>-0.6877149109096669</v>
      </c>
      <c r="M50" s="63" t="n">
        <v>0</v>
      </c>
      <c r="N50" s="32" t="inlineStr">
        <is>
          <t>Active</t>
        </is>
      </c>
      <c r="O50" s="32" t="n"/>
      <c r="P50" s="64" t="n">
        <v>4.7</v>
      </c>
      <c r="Q50" s="63" t="n">
        <v>586</v>
      </c>
      <c r="R50" s="63" t="n">
        <v>603113</v>
      </c>
      <c r="S50" s="63"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59" t="n">
        <v>32.99</v>
      </c>
      <c r="H51" s="32" t="inlineStr">
        <is>
          <t>Helium 10 Xray, 2026-10-13</t>
        </is>
      </c>
      <c r="I51" s="60" t="n">
        <v>31.99</v>
      </c>
      <c r="J51" s="61" t="inlineStr">
        <is>
          <t>2026-03-30</t>
        </is>
      </c>
      <c r="K51" s="33" t="n">
        <v>0.269999999999996</v>
      </c>
      <c r="L51" s="62" t="n">
        <v>0.8440137542982057</v>
      </c>
      <c r="M51" s="63" t="n">
        <v>0</v>
      </c>
      <c r="N51" s="32" t="inlineStr">
        <is>
          <t>Active</t>
        </is>
      </c>
      <c r="O51" s="32" t="n"/>
      <c r="P51" s="64" t="n">
        <v>4.7</v>
      </c>
      <c r="Q51" s="63" t="n">
        <v>586</v>
      </c>
      <c r="R51" s="63" t="n">
        <v>603121</v>
      </c>
      <c r="S51" s="63"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59" t="n">
        <v>32.99</v>
      </c>
      <c r="H52" s="32" t="inlineStr">
        <is>
          <t>Helium 10 Xray, 2026-10-13</t>
        </is>
      </c>
      <c r="I52" s="60" t="n">
        <v>31.99</v>
      </c>
      <c r="J52" s="61" t="inlineStr">
        <is>
          <t>2026-03-30</t>
        </is>
      </c>
      <c r="K52" s="33" t="n">
        <v>0.269999999999996</v>
      </c>
      <c r="L52" s="62" t="n">
        <v>0.8440137542982057</v>
      </c>
      <c r="M52" s="63" t="n">
        <v>0</v>
      </c>
      <c r="N52" s="32" t="inlineStr">
        <is>
          <t>Active</t>
        </is>
      </c>
      <c r="O52" s="32" t="n"/>
      <c r="P52" s="64" t="n">
        <v>4.7</v>
      </c>
      <c r="Q52" s="63" t="n">
        <v>586</v>
      </c>
      <c r="R52" s="63" t="n">
        <v>603113</v>
      </c>
      <c r="S52" s="63"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59" t="n">
        <v>32.99</v>
      </c>
      <c r="H53" s="32" t="inlineStr">
        <is>
          <t>Helium 10 Xray, 2026-10-13</t>
        </is>
      </c>
      <c r="I53" s="60" t="n">
        <v>31.99</v>
      </c>
      <c r="J53" s="61" t="inlineStr">
        <is>
          <t>2026-03-30</t>
        </is>
      </c>
      <c r="K53" s="33" t="n">
        <v>0.259999999999998</v>
      </c>
      <c r="L53" s="62" t="n">
        <v>0.8127539856205003</v>
      </c>
      <c r="M53" s="63" t="n">
        <v>0</v>
      </c>
      <c r="N53" s="32" t="inlineStr">
        <is>
          <t>Active</t>
        </is>
      </c>
      <c r="O53" s="32" t="n"/>
      <c r="P53" s="64" t="n">
        <v>4.7</v>
      </c>
      <c r="Q53" s="63" t="n">
        <v>586</v>
      </c>
      <c r="R53" s="63" t="n">
        <v>603113</v>
      </c>
      <c r="S53" s="63"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59" t="n">
        <v>32.99</v>
      </c>
      <c r="H54" s="32" t="inlineStr">
        <is>
          <t>Helium 10 Xray, 2026-10-13</t>
        </is>
      </c>
      <c r="I54" s="60" t="n">
        <v>31.99</v>
      </c>
      <c r="J54" s="61" t="inlineStr">
        <is>
          <t>2026-03-30</t>
        </is>
      </c>
      <c r="K54" s="33" t="n">
        <v>0.00999999999999801</v>
      </c>
      <c r="L54" s="62" t="n">
        <v>0.03125976867770557</v>
      </c>
      <c r="M54" s="63" t="n">
        <v>0</v>
      </c>
      <c r="N54" s="32" t="inlineStr">
        <is>
          <t>Active</t>
        </is>
      </c>
      <c r="O54" s="32" t="n"/>
      <c r="P54" s="64" t="n">
        <v>4.7</v>
      </c>
      <c r="Q54" s="63" t="n">
        <v>586</v>
      </c>
      <c r="R54" s="63" t="n">
        <v>603113</v>
      </c>
      <c r="S54" s="63"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59" t="n">
        <v>32.99</v>
      </c>
      <c r="H55" s="32" t="inlineStr">
        <is>
          <t>Helium 10 Xray, 2026-10-13</t>
        </is>
      </c>
      <c r="I55" s="60" t="n">
        <v>31.99</v>
      </c>
      <c r="J55" s="61" t="inlineStr">
        <is>
          <t>2026-03-30</t>
        </is>
      </c>
      <c r="K55" s="33" t="n">
        <v>-0.07000000000000384</v>
      </c>
      <c r="L55" s="62" t="n">
        <v>-0.2188183807439945</v>
      </c>
      <c r="M55" s="63" t="n">
        <v>0</v>
      </c>
      <c r="N55" s="32" t="inlineStr">
        <is>
          <t>Active</t>
        </is>
      </c>
      <c r="O55" s="32" t="n"/>
      <c r="P55" s="64" t="n">
        <v>4.7</v>
      </c>
      <c r="Q55" s="63" t="n">
        <v>586</v>
      </c>
      <c r="R55" s="63" t="n">
        <v>603113</v>
      </c>
      <c r="S55" s="63"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59" t="n">
        <v>32.99</v>
      </c>
      <c r="H56" s="32" t="inlineStr">
        <is>
          <t>Helium 10 Xray, 2026-10-13</t>
        </is>
      </c>
      <c r="I56" s="60" t="n">
        <v>31.99</v>
      </c>
      <c r="J56" s="61" t="inlineStr">
        <is>
          <t>2026-03-30</t>
        </is>
      </c>
      <c r="K56" s="33" t="n">
        <v>-0.07000000000000384</v>
      </c>
      <c r="L56" s="62" t="n">
        <v>-0.2188183807439945</v>
      </c>
      <c r="M56" s="63" t="n">
        <v>0</v>
      </c>
      <c r="N56" s="32" t="inlineStr">
        <is>
          <t>Active</t>
        </is>
      </c>
      <c r="O56" s="32" t="n"/>
      <c r="P56" s="64" t="n">
        <v>4.7</v>
      </c>
      <c r="Q56" s="63" t="n">
        <v>586</v>
      </c>
      <c r="R56" s="63" t="n">
        <v>603113</v>
      </c>
      <c r="S56" s="63"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59" t="n">
        <v>32.99</v>
      </c>
      <c r="H57" s="32" t="inlineStr">
        <is>
          <t>Helium 10 Xray, 2026-10-13</t>
        </is>
      </c>
      <c r="I57" s="60" t="n">
        <v>31.99</v>
      </c>
      <c r="J57" s="61" t="inlineStr">
        <is>
          <t>2026-03-30</t>
        </is>
      </c>
      <c r="K57" s="33" t="n">
        <v>-3.552713678800501e-15</v>
      </c>
      <c r="L57" s="62" t="n">
        <v>-1.110570077774461e-14</v>
      </c>
      <c r="M57" s="63" t="n">
        <v>0</v>
      </c>
      <c r="N57" s="32" t="inlineStr">
        <is>
          <t>Active</t>
        </is>
      </c>
      <c r="O57" s="32" t="n"/>
      <c r="P57" s="64" t="n">
        <v>4.7</v>
      </c>
      <c r="Q57" s="63" t="n">
        <v>586</v>
      </c>
      <c r="R57" s="63" t="n">
        <v>603113</v>
      </c>
      <c r="S57" s="63"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59" t="n">
        <v>32.99</v>
      </c>
      <c r="H58" s="32" t="inlineStr">
        <is>
          <t>Helium 10 Xray, 2026-10-13</t>
        </is>
      </c>
      <c r="I58" s="60" t="n">
        <v>31.99</v>
      </c>
      <c r="J58" s="61" t="inlineStr">
        <is>
          <t>2026-03-30</t>
        </is>
      </c>
      <c r="K58" s="33" t="n">
        <v>0.03999999999999915</v>
      </c>
      <c r="L58" s="62" t="n">
        <v>0.1250390747108445</v>
      </c>
      <c r="M58" s="63" t="n">
        <v>0</v>
      </c>
      <c r="N58" s="32" t="inlineStr">
        <is>
          <t>Active</t>
        </is>
      </c>
      <c r="O58" s="32" t="n"/>
      <c r="P58" s="64" t="n">
        <v>4.7</v>
      </c>
      <c r="Q58" s="63" t="n">
        <v>586</v>
      </c>
      <c r="R58" s="63" t="n">
        <v>603113</v>
      </c>
      <c r="S58" s="63"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59" t="n">
        <v>32.99</v>
      </c>
      <c r="H59" s="32" t="inlineStr">
        <is>
          <t>Helium 10 Xray, 2026-10-13</t>
        </is>
      </c>
      <c r="I59" s="60" t="n">
        <v>31.99</v>
      </c>
      <c r="J59" s="61" t="inlineStr">
        <is>
          <t>2026-03-30</t>
        </is>
      </c>
      <c r="K59" s="33" t="n">
        <v>-0.02000000000000313</v>
      </c>
      <c r="L59" s="62" t="n">
        <v>-0.06251953735543335</v>
      </c>
      <c r="M59" s="63" t="n">
        <v>0</v>
      </c>
      <c r="N59" s="32" t="inlineStr">
        <is>
          <t>Active</t>
        </is>
      </c>
      <c r="O59" s="32" t="n"/>
      <c r="P59" s="64" t="n">
        <v>4.7</v>
      </c>
      <c r="Q59" s="63" t="n">
        <v>586</v>
      </c>
      <c r="R59" s="63" t="n">
        <v>603113</v>
      </c>
      <c r="S59" s="63" t="n">
        <v>0.4865</v>
      </c>
      <c r="T59" s="32" t="n"/>
    </row>
    <row r="61" ht="20" customHeight="1">
      <c r="A61" s="53" t="inlineStr">
        <is>
          <t>3 · OUR BFCM 2025 RESULT &amp; EVENT VISIBILITY</t>
        </is>
      </c>
    </row>
    <row r="62">
      <c r="A62" s="66" t="inlineStr">
        <is>
          <t>Window</t>
        </is>
      </c>
      <c r="B62" s="67" t="n"/>
      <c r="C62" s="68" t="n"/>
      <c r="D62" s="66" t="inlineStr">
        <is>
          <t>Ad spend</t>
        </is>
      </c>
      <c r="E62" s="66" t="inlineStr">
        <is>
          <t>Ad sales</t>
        </is>
      </c>
      <c r="F62" s="66" t="inlineStr">
        <is>
          <t>ACoS</t>
        </is>
      </c>
      <c r="G62" s="66" t="inlineStr">
        <is>
          <t>TACoS</t>
        </is>
      </c>
      <c r="H62" s="66" t="inlineStr">
        <is>
          <t>Total sales (derived)</t>
        </is>
      </c>
      <c r="J62" s="66" t="inlineStr">
        <is>
          <t>Ad orders</t>
        </is>
      </c>
      <c r="K62" s="66" t="inlineStr">
        <is>
          <t>CVR</t>
        </is>
      </c>
    </row>
    <row r="63">
      <c r="A63" s="69" t="inlineStr">
        <is>
          <t>Pre-event Oct 21 - Nov 19, 2025 (30d)</t>
        </is>
      </c>
      <c r="B63" s="67" t="n"/>
      <c r="C63" s="68" t="n"/>
      <c r="D63" s="70" t="n"/>
      <c r="E63" s="70" t="n"/>
      <c r="F63" s="71" t="n"/>
      <c r="G63" s="71" t="n"/>
      <c r="H63" s="70" t="n"/>
      <c r="J63" s="72" t="n"/>
      <c r="K63" s="73" t="n"/>
    </row>
    <row r="64">
      <c r="A64" s="69" t="inlineStr">
        <is>
          <t>BFCM week Nov 20 - Dec 1, 2025 (12d)</t>
        </is>
      </c>
      <c r="B64" s="67" t="n"/>
      <c r="C64" s="68" t="n"/>
      <c r="D64" s="70" t="n"/>
      <c r="E64" s="70" t="n"/>
      <c r="F64" s="71" t="n"/>
      <c r="G64" s="71" t="n"/>
      <c r="H64" s="70" t="n"/>
      <c r="J64" s="72" t="n"/>
      <c r="K64" s="73" t="n"/>
    </row>
    <row r="65">
      <c r="A65" s="69" t="inlineStr">
        <is>
          <t>December 2 - 31, 2025 (30d)</t>
        </is>
      </c>
      <c r="B65" s="67" t="n"/>
      <c r="C65" s="68" t="n"/>
      <c r="D65" s="70" t="n"/>
      <c r="E65" s="70" t="n"/>
      <c r="F65" s="71" t="n"/>
      <c r="G65" s="71" t="n"/>
      <c r="H65" s="70" t="n"/>
      <c r="J65" s="72" t="n"/>
      <c r="K65" s="73" t="n"/>
    </row>
    <row r="67">
      <c r="A67" s="66" t="inlineStr">
        <is>
          <t>Actual sales (SellerBoard)</t>
        </is>
      </c>
      <c r="B67" s="67" t="n"/>
      <c r="C67" s="68" t="n"/>
      <c r="D67" s="66" t="inlineStr">
        <is>
          <t>Sales</t>
        </is>
      </c>
      <c r="E67" s="66" t="inlineStr">
        <is>
          <t>Units</t>
        </is>
      </c>
      <c r="F67" s="66" t="inlineStr">
        <is>
          <t>Organic units</t>
        </is>
      </c>
      <c r="G67" s="66" t="inlineStr">
        <is>
          <t>Ad units</t>
        </is>
      </c>
      <c r="H67" s="66" t="inlineStr">
        <is>
          <t>Ad cost</t>
        </is>
      </c>
      <c r="J67" s="66" t="inlineStr">
        <is>
          <t>TACoS (actual)</t>
        </is>
      </c>
      <c r="K67" s="66" t="inlineStr">
        <is>
          <t>Sessions</t>
        </is>
      </c>
      <c r="L67" s="66" t="inlineStr">
        <is>
          <t>Unit session %</t>
        </is>
      </c>
      <c r="M67" s="66" t="inlineStr">
        <is>
          <t>Avg price</t>
        </is>
      </c>
      <c r="N67" s="66" t="inlineStr">
        <is>
          <t>Refunds</t>
        </is>
      </c>
    </row>
    <row r="68">
      <c r="A68" s="69" t="inlineStr">
        <is>
          <t>Pre-event Oct 21 - Nov 19, 2025 (30d)</t>
        </is>
      </c>
      <c r="B68" s="67" t="n"/>
      <c r="C68" s="68" t="n"/>
      <c r="D68" s="70" t="n">
        <v>0</v>
      </c>
      <c r="E68" s="72" t="n">
        <v>0</v>
      </c>
      <c r="F68" s="72" t="n">
        <v>0</v>
      </c>
      <c r="G68" s="72" t="n">
        <v>0</v>
      </c>
      <c r="H68" s="70" t="n">
        <v>0</v>
      </c>
      <c r="J68" s="74" t="n"/>
      <c r="K68" s="72" t="n">
        <v>0</v>
      </c>
      <c r="L68" s="74" t="n"/>
      <c r="M68" s="75" t="n"/>
      <c r="N68" s="72" t="n">
        <v>0</v>
      </c>
    </row>
    <row r="69">
      <c r="A69" s="69" t="inlineStr">
        <is>
          <t>BFCM week Nov 20 - Dec 1, 2025 (12d)</t>
        </is>
      </c>
      <c r="B69" s="67" t="n"/>
      <c r="C69" s="68" t="n"/>
      <c r="D69" s="70" t="n">
        <v>0</v>
      </c>
      <c r="E69" s="72" t="n">
        <v>0</v>
      </c>
      <c r="F69" s="72" t="n">
        <v>0</v>
      </c>
      <c r="G69" s="72" t="n">
        <v>0</v>
      </c>
      <c r="H69" s="70" t="n">
        <v>0</v>
      </c>
      <c r="J69" s="74" t="n"/>
      <c r="K69" s="72" t="n">
        <v>0</v>
      </c>
      <c r="L69" s="74" t="n"/>
      <c r="M69" s="75" t="n"/>
      <c r="N69" s="72" t="n">
        <v>0</v>
      </c>
    </row>
    <row r="70">
      <c r="A70" s="69" t="inlineStr">
        <is>
          <t>December 2 - 31, 2025 (30d)</t>
        </is>
      </c>
      <c r="B70" s="67" t="n"/>
      <c r="C70" s="68" t="n"/>
      <c r="D70" s="70" t="n">
        <v>2310.17</v>
      </c>
      <c r="E70" s="72" t="n">
        <v>83</v>
      </c>
      <c r="F70" s="72" t="n">
        <v>83</v>
      </c>
      <c r="G70" s="72" t="n">
        <v>0</v>
      </c>
      <c r="H70" s="70" t="n">
        <v>0</v>
      </c>
      <c r="J70" s="74" t="n">
        <v>0</v>
      </c>
      <c r="K70" s="72" t="n">
        <v>1859</v>
      </c>
      <c r="L70" s="74" t="n">
        <v>0.04464766003227542</v>
      </c>
      <c r="M70" s="75" t="n">
        <v>27.83337349397591</v>
      </c>
      <c r="N70" s="72" t="n">
        <v>0</v>
      </c>
    </row>
    <row r="71">
      <c r="A71" s="58" t="inlineStr">
        <is>
          <t>SellerBoard, Ecotero account, Amazon parent B0H2Z62MJZ plus any of this product's child ASINs SellerBoard lists on their own, UTC days. Lift above uses these actual sales.</t>
        </is>
      </c>
    </row>
    <row r="72" ht="18" customHeight="1">
      <c r="A72" s="77" t="inlineStr">
        <is>
          <t>BFCM 2026 plan (BM, Oct 15, 2026): Best Deal 11/19-11/30. Deal price and depth not yet given; not yet visible in Amazon's deal feed.</t>
        </is>
      </c>
    </row>
    <row r="73" ht="18" customHeight="1">
      <c r="A73" s="79" t="inlineStr">
        <is>
          <t>ASSUMED 2026 deal prices, until BM's final: B0F63C8HL2 today $34.99; $29.74 at 15% off (Nov 19-26) and $27.99 at 20% off (Nov 27-30 (Black Friday to Cyber Monday)). Rule: Umair Tahir via Shayan Rana, Oct 15, 2026. Evidence: US competitors' median price cut in BFCM 2025: 31% (6 rivals). Amazon may use a lower reference price than today's (it sets it the day before the deal), which would lower the deal price.</t>
        </is>
      </c>
    </row>
    <row r="74">
      <c r="A74" s="58" t="inlineStr">
        <is>
          <t>No Command Center visibility history for our best child ASIN.</t>
        </is>
      </c>
    </row>
    <row r="76" ht="20" customHeight="1">
      <c r="A76" s="53" t="inlineStr">
        <is>
          <t>4 · COMPETITOR LANDSCAPE (21 mapped)</t>
        </is>
      </c>
    </row>
    <row r="77">
      <c r="A77" s="58"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3"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Beach Towel  ·  Amazon.com (US)  ·  Other  ·  BFCM role: Other  ·  Scope: Other</t>
        </is>
      </c>
    </row>
    <row r="2">
      <c r="A2" s="52" t="inlineStr">
        <is>
          <t>← Dashboard</t>
        </is>
      </c>
    </row>
    <row r="3" ht="20" customHeight="1">
      <c r="A3" s="53"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4" t="inlineStr">
        <is>
          <t>39" x 73"</t>
        </is>
      </c>
      <c r="S4" s="11" t="inlineStr">
        <is>
          <t>Break-even ACoS</t>
        </is>
      </c>
      <c r="T4" s="54" t="inlineStr">
        <is>
          <t>26%</t>
        </is>
      </c>
    </row>
    <row r="5" ht="22" customHeight="1">
      <c r="C5" s="11" t="inlineStr">
        <is>
          <t>Brand</t>
        </is>
      </c>
      <c r="D5" s="54" t="inlineStr">
        <is>
          <t>Decolure</t>
        </is>
      </c>
      <c r="K5" s="11" t="inlineStr">
        <is>
          <t>Colours</t>
        </is>
      </c>
      <c r="L5" s="54" t="inlineStr">
        <is>
          <t>Cyan, Gray, Light Cyan, Light Gray, Med Cyan, Med Gray, Silver Gray</t>
        </is>
      </c>
      <c r="S5" s="11" t="inlineStr">
        <is>
          <t>Units last 28 days</t>
        </is>
      </c>
      <c r="T5" s="54" t="inlineStr">
        <is>
          <t>2</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B0DQ8NHCYM (one of our child ASINs, not the Amazon parent)</t>
        </is>
      </c>
    </row>
    <row r="7" ht="22" customHeight="1">
      <c r="C7" s="11" t="inlineStr">
        <is>
          <t>Parent ASIN (Amazon)</t>
        </is>
      </c>
      <c r="D7" s="54" t="inlineStr">
        <is>
          <t>B0GZVXL6DZ</t>
        </is>
      </c>
      <c r="K7" s="11" t="inlineStr">
        <is>
          <t>Rating / reviews now</t>
        </is>
      </c>
      <c r="L7" s="54" t="inlineStr">
        <is>
          <t>Not checked yet</t>
        </is>
      </c>
    </row>
    <row r="8" ht="22" customHeight="1">
      <c r="C8" s="11" t="inlineStr">
        <is>
          <t>Best-selling child ASIN</t>
        </is>
      </c>
      <c r="D8" s="54" t="inlineStr">
        <is>
          <t>B0DQ92K585</t>
        </is>
      </c>
      <c r="K8" s="11" t="inlineStr">
        <is>
          <t>Live prices held</t>
        </is>
      </c>
      <c r="L8" s="54" t="inlineStr">
        <is>
          <t>0 of 14 variations</t>
        </is>
      </c>
    </row>
    <row r="9" ht="22" customHeight="1">
      <c r="C9" s="11" t="inlineStr">
        <is>
          <t>Stage</t>
        </is>
      </c>
      <c r="D9" s="54" t="inlineStr">
        <is>
          <t>Liquidation</t>
        </is>
      </c>
      <c r="K9" s="11" t="inlineStr">
        <is>
          <t>Blended price (Command Center)</t>
        </is>
      </c>
      <c r="L9" s="54" t="inlineStr">
        <is>
          <t>$21.45 - fee feed as of 2026-03-30, STALE</t>
        </is>
      </c>
    </row>
    <row r="10">
      <c r="C10" s="11" t="inlineStr">
        <is>
          <t>Total variations (SKUs)</t>
        </is>
      </c>
      <c r="D10" s="54" t="n">
        <v>14</v>
      </c>
      <c r="K10" s="11" t="inlineStr">
        <is>
          <t>Contribution / unit</t>
        </is>
      </c>
      <c r="L10" s="54" t="inlineStr">
        <is>
          <t>$5.47</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13</t>
        </is>
      </c>
      <c r="Q12" s="56" t="inlineStr">
        <is>
          <t>10</t>
        </is>
      </c>
      <c r="U12" s="56" t="inlineStr">
        <is>
          <t>0</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(14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c r="H18" s="32" t="n"/>
      <c r="I18" s="60" t="n">
        <v>19.95</v>
      </c>
      <c r="J18" s="61" t="inlineStr">
        <is>
          <t>2026-03-30</t>
        </is>
      </c>
      <c r="K18" s="33" t="n">
        <v>4.28</v>
      </c>
      <c r="L18" s="62" t="n">
        <v>0.2145363408521304</v>
      </c>
      <c r="M18" s="63" t="n">
        <v>1</v>
      </c>
      <c r="N18" s="32" t="inlineStr">
        <is>
          <t>Active</t>
        </is>
      </c>
      <c r="O18" s="32" t="n"/>
      <c r="P18" s="64" t="n"/>
      <c r="Q18" s="63" t="n"/>
      <c r="R18" s="63" t="n"/>
      <c r="S18" s="63"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0" t="n">
        <v>22.95</v>
      </c>
      <c r="J19" s="61" t="inlineStr">
        <is>
          <t>2026-03-30</t>
        </is>
      </c>
      <c r="K19" s="33" t="n">
        <v>6.669999999999998</v>
      </c>
      <c r="L19" s="62" t="n">
        <v>0.290631808278867</v>
      </c>
      <c r="M19" s="63" t="n">
        <v>1</v>
      </c>
      <c r="N19" s="32" t="inlineStr">
        <is>
          <t>Active</t>
        </is>
      </c>
      <c r="O19" s="32" t="n"/>
      <c r="P19" s="64" t="n"/>
      <c r="Q19" s="63" t="n"/>
      <c r="R19" s="63" t="n"/>
      <c r="S19" s="63"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0" t="n">
        <v>22.95</v>
      </c>
      <c r="J20" s="61" t="inlineStr">
        <is>
          <t>2026-03-30</t>
        </is>
      </c>
      <c r="K20" s="33" t="n">
        <v>6.579999999999997</v>
      </c>
      <c r="L20" s="62" t="n">
        <v>0.286710239651416</v>
      </c>
      <c r="M20" s="63" t="n">
        <v>0</v>
      </c>
      <c r="N20" s="32" t="inlineStr">
        <is>
          <t>Active</t>
        </is>
      </c>
      <c r="O20" s="32" t="n"/>
      <c r="P20" s="64" t="n"/>
      <c r="Q20" s="63" t="n"/>
      <c r="R20" s="63" t="n"/>
      <c r="S20" s="63"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0" t="n">
        <v>22.95</v>
      </c>
      <c r="J21" s="61" t="inlineStr">
        <is>
          <t>2026-03-30</t>
        </is>
      </c>
      <c r="K21" s="33" t="n">
        <v>6.719999999999998</v>
      </c>
      <c r="L21" s="62" t="n">
        <v>0.2928104575163398</v>
      </c>
      <c r="M21" s="63" t="n">
        <v>0</v>
      </c>
      <c r="N21" s="32" t="inlineStr">
        <is>
          <t>Active</t>
        </is>
      </c>
      <c r="O21" s="32" t="n"/>
      <c r="P21" s="64" t="n"/>
      <c r="Q21" s="63" t="n"/>
      <c r="R21" s="63" t="n"/>
      <c r="S21" s="63"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2" t="n"/>
      <c r="M22" s="63" t="n"/>
      <c r="N22" s="32" t="inlineStr">
        <is>
          <t>Inactive</t>
        </is>
      </c>
      <c r="O22" s="32" t="n"/>
      <c r="P22" s="64" t="n"/>
      <c r="Q22" s="63" t="n"/>
      <c r="R22" s="63" t="n"/>
      <c r="S22" s="63"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2" t="n"/>
      <c r="M23" s="63" t="n"/>
      <c r="N23" s="32" t="inlineStr">
        <is>
          <t>Inactive</t>
        </is>
      </c>
      <c r="O23" s="32" t="n"/>
      <c r="P23" s="64" t="n"/>
      <c r="Q23" s="63" t="n"/>
      <c r="R23" s="63" t="n"/>
      <c r="S23" s="63"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0" t="n">
        <v>22.95</v>
      </c>
      <c r="J24" s="61" t="inlineStr">
        <is>
          <t>2026-03-30</t>
        </is>
      </c>
      <c r="K24" s="33" t="n"/>
      <c r="L24" s="62" t="n"/>
      <c r="M24" s="63" t="n"/>
      <c r="N24" s="32" t="inlineStr">
        <is>
          <t>Inactive</t>
        </is>
      </c>
      <c r="O24" s="32" t="n"/>
      <c r="P24" s="64" t="n"/>
      <c r="Q24" s="63" t="n"/>
      <c r="R24" s="63" t="n"/>
      <c r="S24" s="63"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2" t="n"/>
      <c r="M25" s="63" t="n"/>
      <c r="N25" s="32" t="inlineStr">
        <is>
          <t>Inactive</t>
        </is>
      </c>
      <c r="O25" s="32" t="n"/>
      <c r="P25" s="64" t="n"/>
      <c r="Q25" s="63" t="n"/>
      <c r="R25" s="63" t="n"/>
      <c r="S25" s="63"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2" t="n"/>
      <c r="M26" s="63" t="n"/>
      <c r="N26" s="32" t="inlineStr">
        <is>
          <t>Inactive</t>
        </is>
      </c>
      <c r="O26" s="32" t="n"/>
      <c r="P26" s="64" t="n"/>
      <c r="Q26" s="63" t="n"/>
      <c r="R26" s="63" t="n"/>
      <c r="S26" s="63"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2" t="n"/>
      <c r="M27" s="63" t="n"/>
      <c r="N27" s="32" t="inlineStr">
        <is>
          <t>Inactive</t>
        </is>
      </c>
      <c r="O27" s="32" t="n"/>
      <c r="P27" s="64" t="n"/>
      <c r="Q27" s="63" t="n"/>
      <c r="R27" s="63" t="n"/>
      <c r="S27" s="63"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2" t="n"/>
      <c r="M28" s="63" t="n"/>
      <c r="N28" s="32" t="inlineStr">
        <is>
          <t>Inactive</t>
        </is>
      </c>
      <c r="O28" s="32" t="n"/>
      <c r="P28" s="64" t="n"/>
      <c r="Q28" s="63" t="n"/>
      <c r="R28" s="63" t="n"/>
      <c r="S28" s="63"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2" t="n"/>
      <c r="M29" s="63" t="n"/>
      <c r="N29" s="32" t="inlineStr">
        <is>
          <t>Inactive</t>
        </is>
      </c>
      <c r="O29" s="32" t="n"/>
      <c r="P29" s="64" t="n"/>
      <c r="Q29" s="63" t="n"/>
      <c r="R29" s="63" t="n"/>
      <c r="S29" s="63"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2" t="n"/>
      <c r="M30" s="63" t="n"/>
      <c r="N30" s="32" t="inlineStr">
        <is>
          <t>Inactive</t>
        </is>
      </c>
      <c r="O30" s="32" t="n"/>
      <c r="P30" s="64" t="n"/>
      <c r="Q30" s="63" t="n"/>
      <c r="R30" s="63" t="n"/>
      <c r="S30" s="63"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2" t="n"/>
      <c r="M31" s="63" t="n"/>
      <c r="N31" s="32" t="inlineStr">
        <is>
          <t>Inactive</t>
        </is>
      </c>
      <c r="O31" s="32" t="n"/>
      <c r="P31" s="64" t="n"/>
      <c r="Q31" s="63" t="n"/>
      <c r="R31" s="63" t="n"/>
      <c r="S31" s="63" t="n"/>
      <c r="T31" s="32" t="n"/>
    </row>
    <row r="33" ht="20" customHeight="1">
      <c r="A33" s="53" t="inlineStr">
        <is>
          <t>3 · OUR BFCM 2025 RESULT &amp; EVENT VISIBILITY</t>
        </is>
      </c>
    </row>
    <row r="34">
      <c r="A34" s="66" t="inlineStr">
        <is>
          <t>Window</t>
        </is>
      </c>
      <c r="B34" s="67" t="n"/>
      <c r="C34" s="68" t="n"/>
      <c r="D34" s="66" t="inlineStr">
        <is>
          <t>Ad spend</t>
        </is>
      </c>
      <c r="E34" s="66" t="inlineStr">
        <is>
          <t>Ad sales</t>
        </is>
      </c>
      <c r="F34" s="66" t="inlineStr">
        <is>
          <t>ACoS</t>
        </is>
      </c>
      <c r="G34" s="66" t="inlineStr">
        <is>
          <t>TACoS</t>
        </is>
      </c>
      <c r="H34" s="66" t="inlineStr">
        <is>
          <t>Total sales (derived)</t>
        </is>
      </c>
      <c r="J34" s="66" t="inlineStr">
        <is>
          <t>Ad orders</t>
        </is>
      </c>
      <c r="K34" s="66" t="inlineStr">
        <is>
          <t>CVR</t>
        </is>
      </c>
    </row>
    <row r="35">
      <c r="A35" s="69" t="inlineStr">
        <is>
          <t>Pre-event Oct 21 - Nov 19, 2025 (30d)</t>
        </is>
      </c>
      <c r="B35" s="67" t="n"/>
      <c r="C35" s="68" t="n"/>
      <c r="D35" s="70" t="n">
        <v>0</v>
      </c>
      <c r="E35" s="70" t="n">
        <v>0</v>
      </c>
      <c r="F35" s="71" t="n"/>
      <c r="G35" s="71" t="n">
        <v>0</v>
      </c>
      <c r="H35" s="70" t="n"/>
      <c r="J35" s="72" t="n">
        <v>0</v>
      </c>
      <c r="K35" s="73" t="n"/>
    </row>
    <row r="36">
      <c r="A36" s="69" t="inlineStr">
        <is>
          <t>BFCM week Nov 20 - Dec 1, 2025 (12d)</t>
        </is>
      </c>
      <c r="B36" s="67" t="n"/>
      <c r="C36" s="68" t="n"/>
      <c r="D36" s="70" t="n">
        <v>0</v>
      </c>
      <c r="E36" s="70" t="n">
        <v>0</v>
      </c>
      <c r="F36" s="71" t="n"/>
      <c r="G36" s="71" t="n"/>
      <c r="H36" s="70" t="n"/>
      <c r="J36" s="72" t="n">
        <v>0</v>
      </c>
      <c r="K36" s="73" t="n"/>
    </row>
    <row r="37">
      <c r="A37" s="69" t="inlineStr">
        <is>
          <t>December 2 - 31, 2025 (30d)</t>
        </is>
      </c>
      <c r="B37" s="67" t="n"/>
      <c r="C37" s="68" t="n"/>
      <c r="D37" s="70" t="n">
        <v>0</v>
      </c>
      <c r="E37" s="70" t="n">
        <v>0</v>
      </c>
      <c r="F37" s="71" t="n"/>
      <c r="G37" s="71" t="n"/>
      <c r="H37" s="70" t="n"/>
      <c r="J37" s="72" t="n">
        <v>0</v>
      </c>
      <c r="K37" s="73" t="n"/>
    </row>
    <row r="39">
      <c r="A39" s="66" t="inlineStr">
        <is>
          <t>Actual sales (SellerBoard)</t>
        </is>
      </c>
      <c r="B39" s="67" t="n"/>
      <c r="C39" s="68" t="n"/>
      <c r="D39" s="66" t="inlineStr">
        <is>
          <t>Sales</t>
        </is>
      </c>
      <c r="E39" s="66" t="inlineStr">
        <is>
          <t>Units</t>
        </is>
      </c>
      <c r="F39" s="66" t="inlineStr">
        <is>
          <t>Organic units</t>
        </is>
      </c>
      <c r="G39" s="66" t="inlineStr">
        <is>
          <t>Ad units</t>
        </is>
      </c>
      <c r="H39" s="66" t="inlineStr">
        <is>
          <t>Ad cost</t>
        </is>
      </c>
      <c r="J39" s="66" t="inlineStr">
        <is>
          <t>TACoS (actual)</t>
        </is>
      </c>
      <c r="K39" s="66" t="inlineStr">
        <is>
          <t>Sessions</t>
        </is>
      </c>
      <c r="L39" s="66" t="inlineStr">
        <is>
          <t>Unit session %</t>
        </is>
      </c>
      <c r="M39" s="66" t="inlineStr">
        <is>
          <t>Avg price</t>
        </is>
      </c>
      <c r="N39" s="66" t="inlineStr">
        <is>
          <t>Refunds</t>
        </is>
      </c>
    </row>
    <row r="40">
      <c r="A40" s="69" t="inlineStr">
        <is>
          <t>Pre-event Oct 21 - Nov 19, 2025 (30d)</t>
        </is>
      </c>
      <c r="B40" s="67" t="n"/>
      <c r="C40" s="68" t="n"/>
      <c r="D40" s="70" t="n">
        <v>59.85</v>
      </c>
      <c r="E40" s="72" t="n">
        <v>3</v>
      </c>
      <c r="F40" s="72" t="n">
        <v>3</v>
      </c>
      <c r="G40" s="72" t="n">
        <v>0</v>
      </c>
      <c r="H40" s="70" t="n">
        <v>0</v>
      </c>
      <c r="J40" s="74" t="n">
        <v>0</v>
      </c>
      <c r="K40" s="72" t="n">
        <v>33</v>
      </c>
      <c r="L40" s="74" t="n">
        <v>0.09090909090909091</v>
      </c>
      <c r="M40" s="75" t="n">
        <v>19.95</v>
      </c>
      <c r="N40" s="72" t="n">
        <v>0</v>
      </c>
    </row>
    <row r="41">
      <c r="A41" s="69" t="inlineStr">
        <is>
          <t>BFCM week Nov 20 - Dec 1, 2025 (12d)</t>
        </is>
      </c>
      <c r="B41" s="67" t="n"/>
      <c r="C41" s="68" t="n"/>
      <c r="D41" s="70" t="n">
        <v>0</v>
      </c>
      <c r="E41" s="72" t="n">
        <v>0</v>
      </c>
      <c r="F41" s="72" t="n">
        <v>0</v>
      </c>
      <c r="G41" s="72" t="n">
        <v>0</v>
      </c>
      <c r="H41" s="70" t="n">
        <v>0</v>
      </c>
      <c r="J41" s="74" t="n"/>
      <c r="K41" s="72" t="n">
        <v>25</v>
      </c>
      <c r="L41" s="74" t="n">
        <v>0</v>
      </c>
      <c r="M41" s="75" t="n"/>
      <c r="N41" s="72" t="n">
        <v>0</v>
      </c>
    </row>
    <row r="42">
      <c r="A42" s="69" t="inlineStr">
        <is>
          <t>December 2 - 31, 2025 (30d)</t>
        </is>
      </c>
      <c r="B42" s="67" t="n"/>
      <c r="C42" s="68" t="n"/>
      <c r="D42" s="70" t="n">
        <v>0</v>
      </c>
      <c r="E42" s="72" t="n">
        <v>0</v>
      </c>
      <c r="F42" s="72" t="n">
        <v>0</v>
      </c>
      <c r="G42" s="72" t="n">
        <v>0</v>
      </c>
      <c r="H42" s="70" t="n">
        <v>0</v>
      </c>
      <c r="J42" s="74" t="n"/>
      <c r="K42" s="72" t="n">
        <v>21</v>
      </c>
      <c r="L42" s="74" t="n">
        <v>0</v>
      </c>
      <c r="M42" s="75" t="n"/>
      <c r="N42" s="72" t="n">
        <v>0</v>
      </c>
    </row>
    <row r="43">
      <c r="A43" s="58" t="inlineStr">
        <is>
          <t>SellerBoard, Ecotero account, Amazon parent B0GZVXL6DZ plus any of this product's child ASINs SellerBoard lists on their own, UTC days. Lift above uses these actual sales.</t>
        </is>
      </c>
    </row>
    <row r="44" ht="18" customHeight="1">
      <c r="A44" s="110" t="inlineStr">
        <is>
          <t>BFCM 2026 plan (BM, Oct 15, 2026): NOT IN A DEAL. BM confirmed that products without a planned deal are not in any BFCM 2026 deal; they sell at their regular price.</t>
        </is>
      </c>
    </row>
    <row r="45" ht="30" customHeight="1">
      <c r="A45" s="76"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8" t="inlineStr">
        <is>
          <t>No Command Center visibility history for our best child ASIN.</t>
        </is>
      </c>
    </row>
    <row r="48" ht="20" customHeight="1">
      <c r="A48" s="53" t="inlineStr">
        <is>
          <t>4 · COMPETITOR LANDSCAPE (13 mapped)</t>
        </is>
      </c>
    </row>
    <row r="49">
      <c r="A49" s="58"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3"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Front Door Welcome Sign  ·  Amazon.com (US)  ·  Other  ·  BFCM role: Other  ·  Scope: Other</t>
        </is>
      </c>
    </row>
    <row r="2">
      <c r="A2" s="52" t="inlineStr">
        <is>
          <t>← Dashboard</t>
        </is>
      </c>
    </row>
    <row r="3" ht="20" customHeight="1">
      <c r="A3" s="53"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4" t="inlineStr">
        <is>
          <t>One Size</t>
        </is>
      </c>
      <c r="S4" s="11" t="inlineStr">
        <is>
          <t>Break-even ACoS</t>
        </is>
      </c>
      <c r="T4" s="54" t="inlineStr">
        <is>
          <t>3%</t>
        </is>
      </c>
    </row>
    <row r="5" ht="22" customHeight="1">
      <c r="C5" s="11" t="inlineStr">
        <is>
          <t>Brand</t>
        </is>
      </c>
      <c r="D5" s="54" t="inlineStr">
        <is>
          <t>Decolure</t>
        </is>
      </c>
      <c r="K5" s="11" t="inlineStr">
        <is>
          <t>Colours</t>
        </is>
      </c>
      <c r="L5" s="54" t="inlineStr">
        <is>
          <t>Black, Brown, Dark Brown, Midnight Black, Modern Black, Saddle Brown, Wood Brown</t>
        </is>
      </c>
      <c r="S5" s="11" t="inlineStr">
        <is>
          <t>Units last 28 days</t>
        </is>
      </c>
      <c r="T5" s="54" t="inlineStr">
        <is>
          <t>2</t>
        </is>
      </c>
    </row>
    <row r="6" ht="22" customHeight="1">
      <c r="C6" s="11" t="inlineStr">
        <is>
          <t>Marketplace</t>
        </is>
      </c>
      <c r="D6" s="54" t="inlineStr">
        <is>
          <t>Amazon.com (US)</t>
        </is>
      </c>
      <c r="K6" s="11" t="inlineStr">
        <is>
          <t>Price now, best child</t>
        </is>
      </c>
      <c r="L6" s="54" t="inlineStr">
        <is>
          <t>Not checked yet - AGENT_PROMPTS Prompt 12</t>
        </is>
      </c>
      <c r="S6" s="11" t="inlineStr">
        <is>
          <t>Command Center product ASIN</t>
        </is>
      </c>
      <c r="T6" s="54" t="inlineStr">
        <is>
          <t>B0DQ83G9MC (one of our child ASINs, not the Amazon parent)</t>
        </is>
      </c>
    </row>
    <row r="7" ht="22" customHeight="1">
      <c r="C7" s="11" t="inlineStr">
        <is>
          <t>Parent ASIN (Amazon)</t>
        </is>
      </c>
      <c r="D7" s="54" t="inlineStr">
        <is>
          <t>B0H1N61MK6</t>
        </is>
      </c>
      <c r="K7" s="11" t="inlineStr">
        <is>
          <t>Rating / reviews now</t>
        </is>
      </c>
      <c r="L7" s="54" t="inlineStr">
        <is>
          <t>Not checked yet</t>
        </is>
      </c>
    </row>
    <row r="8" ht="22" customHeight="1">
      <c r="C8" s="11" t="inlineStr">
        <is>
          <t>Best-selling child ASIN</t>
        </is>
      </c>
      <c r="D8" s="54" t="inlineStr">
        <is>
          <t>B0DQ84FD76</t>
        </is>
      </c>
      <c r="K8" s="11" t="inlineStr">
        <is>
          <t>Live prices held</t>
        </is>
      </c>
      <c r="L8" s="54" t="inlineStr">
        <is>
          <t>0 of 7 variations</t>
        </is>
      </c>
    </row>
    <row r="9" ht="22" customHeight="1">
      <c r="C9" s="11" t="inlineStr">
        <is>
          <t>Stage</t>
        </is>
      </c>
      <c r="D9" s="54" t="inlineStr">
        <is>
          <t>Liquidation</t>
        </is>
      </c>
      <c r="K9" s="11" t="inlineStr">
        <is>
          <t>Blended price (Command Center)</t>
        </is>
      </c>
      <c r="L9" s="54" t="inlineStr">
        <is>
          <t>$37.95 - fee feed as of 2026-03-30, STALE</t>
        </is>
      </c>
    </row>
    <row r="10">
      <c r="C10" s="11" t="inlineStr">
        <is>
          <t>Total variations (SKUs)</t>
        </is>
      </c>
      <c r="D10" s="54" t="n">
        <v>7</v>
      </c>
      <c r="K10" s="11" t="inlineStr">
        <is>
          <t>Contribution / unit</t>
        </is>
      </c>
      <c r="L10" s="54" t="inlineStr">
        <is>
          <t>$1.31</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n/a</t>
        </is>
      </c>
      <c r="E12" s="56" t="inlineStr">
        <is>
          <t>n/a</t>
        </is>
      </c>
      <c r="I12" s="56" t="inlineStr">
        <is>
          <t>n/a</t>
        </is>
      </c>
      <c r="M12" s="56" t="inlineStr">
        <is>
          <t>17</t>
        </is>
      </c>
      <c r="Q12" s="56" t="inlineStr">
        <is>
          <t>12</t>
        </is>
      </c>
      <c r="U12" s="56" t="inlineStr">
        <is>
          <t>1</t>
        </is>
      </c>
    </row>
    <row r="13">
      <c r="A13" s="57" t="inlineStr">
        <is>
          <t>no data</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(7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0" t="n">
        <v>37.95</v>
      </c>
      <c r="J18" s="61" t="inlineStr">
        <is>
          <t>2026-03-30</t>
        </is>
      </c>
      <c r="K18" s="33" t="n">
        <v>1.490000000000006</v>
      </c>
      <c r="L18" s="62" t="n">
        <v>0.03926218708827419</v>
      </c>
      <c r="M18" s="63" t="n">
        <v>1</v>
      </c>
      <c r="N18" s="32" t="inlineStr">
        <is>
          <t>Active</t>
        </is>
      </c>
      <c r="O18" s="32" t="n"/>
      <c r="P18" s="64" t="n"/>
      <c r="Q18" s="63" t="n"/>
      <c r="R18" s="63" t="n"/>
      <c r="S18" s="63"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c r="H19" s="32" t="n"/>
      <c r="I19" s="60" t="n">
        <v>37.95</v>
      </c>
      <c r="J19" s="61" t="inlineStr">
        <is>
          <t>2026-03-30</t>
        </is>
      </c>
      <c r="K19" s="33" t="n">
        <v>1.130000000000003</v>
      </c>
      <c r="L19" s="62" t="n">
        <v>0.02977602108036897</v>
      </c>
      <c r="M19" s="63" t="n">
        <v>1</v>
      </c>
      <c r="N19" s="32" t="inlineStr">
        <is>
          <t>Inactive</t>
        </is>
      </c>
      <c r="O19" s="32" t="n"/>
      <c r="P19" s="64" t="n"/>
      <c r="Q19" s="63" t="n"/>
      <c r="R19" s="63" t="n"/>
      <c r="S19" s="63"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0" t="n">
        <v>37.95</v>
      </c>
      <c r="J20" s="61" t="inlineStr">
        <is>
          <t>2026-03-30</t>
        </is>
      </c>
      <c r="K20" s="33" t="n"/>
      <c r="L20" s="62" t="n"/>
      <c r="M20" s="63" t="n"/>
      <c r="N20" s="32" t="inlineStr">
        <is>
          <t>Inactive</t>
        </is>
      </c>
      <c r="O20" s="32" t="n"/>
      <c r="P20" s="64" t="n"/>
      <c r="Q20" s="63" t="n"/>
      <c r="R20" s="63" t="n"/>
      <c r="S20" s="63"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2" t="n"/>
      <c r="M21" s="63" t="n"/>
      <c r="N21" s="32" t="inlineStr">
        <is>
          <t>Inactive</t>
        </is>
      </c>
      <c r="O21" s="32" t="n"/>
      <c r="P21" s="64" t="n"/>
      <c r="Q21" s="63" t="n"/>
      <c r="R21" s="63" t="n"/>
      <c r="S21" s="63"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0" t="n">
        <v>32.95</v>
      </c>
      <c r="J22" s="61" t="inlineStr">
        <is>
          <t>2026-03-30</t>
        </is>
      </c>
      <c r="K22" s="33" t="n"/>
      <c r="L22" s="62" t="n"/>
      <c r="M22" s="63" t="n">
        <v>0</v>
      </c>
      <c r="N22" s="32" t="inlineStr">
        <is>
          <t>Active</t>
        </is>
      </c>
      <c r="O22" s="32" t="n"/>
      <c r="P22" s="64" t="n"/>
      <c r="Q22" s="63" t="n"/>
      <c r="R22" s="63" t="n"/>
      <c r="S22" s="63"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0" t="n">
        <v>32.95</v>
      </c>
      <c r="J23" s="61" t="inlineStr">
        <is>
          <t>2026-03-30</t>
        </is>
      </c>
      <c r="K23" s="33" t="n"/>
      <c r="L23" s="62" t="n"/>
      <c r="M23" s="63" t="n">
        <v>0</v>
      </c>
      <c r="N23" s="32" t="inlineStr">
        <is>
          <t>Active</t>
        </is>
      </c>
      <c r="O23" s="32" t="n"/>
      <c r="P23" s="64" t="n"/>
      <c r="Q23" s="63" t="n"/>
      <c r="R23" s="63" t="n"/>
      <c r="S23" s="63"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2" t="n"/>
      <c r="M24" s="63" t="n"/>
      <c r="N24" s="32" t="inlineStr">
        <is>
          <t>Inactive</t>
        </is>
      </c>
      <c r="O24" s="32" t="n"/>
      <c r="P24" s="64" t="n"/>
      <c r="Q24" s="63" t="n"/>
      <c r="R24" s="63" t="n"/>
      <c r="S24" s="63" t="n"/>
      <c r="T24" s="32" t="n"/>
    </row>
    <row r="26" ht="20" customHeight="1">
      <c r="A26" s="53" t="inlineStr">
        <is>
          <t>3 · OUR BFCM 2025 RESULT &amp; EVENT VISIBILITY</t>
        </is>
      </c>
    </row>
    <row r="27">
      <c r="A27" s="66" t="inlineStr">
        <is>
          <t>Window</t>
        </is>
      </c>
      <c r="B27" s="67" t="n"/>
      <c r="C27" s="68" t="n"/>
      <c r="D27" s="66" t="inlineStr">
        <is>
          <t>Ad spend</t>
        </is>
      </c>
      <c r="E27" s="66" t="inlineStr">
        <is>
          <t>Ad sales</t>
        </is>
      </c>
      <c r="F27" s="66" t="inlineStr">
        <is>
          <t>ACoS</t>
        </is>
      </c>
      <c r="G27" s="66" t="inlineStr">
        <is>
          <t>TACoS</t>
        </is>
      </c>
      <c r="H27" s="66" t="inlineStr">
        <is>
          <t>Total sales (derived)</t>
        </is>
      </c>
      <c r="J27" s="66" t="inlineStr">
        <is>
          <t>Ad orders</t>
        </is>
      </c>
      <c r="K27" s="66" t="inlineStr">
        <is>
          <t>CVR</t>
        </is>
      </c>
    </row>
    <row r="28">
      <c r="A28" s="69" t="inlineStr">
        <is>
          <t>Pre-event Oct 21 - Nov 19, 2025 (30d)</t>
        </is>
      </c>
      <c r="B28" s="67" t="n"/>
      <c r="C28" s="68" t="n"/>
      <c r="D28" s="70" t="n"/>
      <c r="E28" s="70" t="n"/>
      <c r="F28" s="71" t="n"/>
      <c r="G28" s="71" t="n"/>
      <c r="H28" s="70" t="n"/>
      <c r="J28" s="72" t="n"/>
      <c r="K28" s="73" t="n"/>
    </row>
    <row r="29">
      <c r="A29" s="69" t="inlineStr">
        <is>
          <t>BFCM week Nov 20 - Dec 1, 2025 (12d)</t>
        </is>
      </c>
      <c r="B29" s="67" t="n"/>
      <c r="C29" s="68" t="n"/>
      <c r="D29" s="70" t="n"/>
      <c r="E29" s="70" t="n"/>
      <c r="F29" s="71" t="n"/>
      <c r="G29" s="71" t="n"/>
      <c r="H29" s="70" t="n"/>
      <c r="J29" s="72" t="n"/>
      <c r="K29" s="73" t="n"/>
    </row>
    <row r="30">
      <c r="A30" s="69" t="inlineStr">
        <is>
          <t>December 2 - 31, 2025 (30d)</t>
        </is>
      </c>
      <c r="B30" s="67" t="n"/>
      <c r="C30" s="68" t="n"/>
      <c r="D30" s="70" t="n"/>
      <c r="E30" s="70" t="n"/>
      <c r="F30" s="71" t="n"/>
      <c r="G30" s="71" t="n"/>
      <c r="H30" s="70" t="n"/>
      <c r="J30" s="72" t="n"/>
      <c r="K30" s="73" t="n"/>
    </row>
    <row r="32">
      <c r="A32" s="66" t="inlineStr">
        <is>
          <t>Actual sales (SellerBoard)</t>
        </is>
      </c>
      <c r="B32" s="67" t="n"/>
      <c r="C32" s="68" t="n"/>
      <c r="D32" s="66" t="inlineStr">
        <is>
          <t>Sales</t>
        </is>
      </c>
      <c r="E32" s="66" t="inlineStr">
        <is>
          <t>Units</t>
        </is>
      </c>
      <c r="F32" s="66" t="inlineStr">
        <is>
          <t>Organic units</t>
        </is>
      </c>
      <c r="G32" s="66" t="inlineStr">
        <is>
          <t>Ad units</t>
        </is>
      </c>
      <c r="H32" s="66" t="inlineStr">
        <is>
          <t>Ad cost</t>
        </is>
      </c>
      <c r="J32" s="66" t="inlineStr">
        <is>
          <t>TACoS (actual)</t>
        </is>
      </c>
      <c r="K32" s="66" t="inlineStr">
        <is>
          <t>Sessions</t>
        </is>
      </c>
      <c r="L32" s="66" t="inlineStr">
        <is>
          <t>Unit session %</t>
        </is>
      </c>
      <c r="M32" s="66" t="inlineStr">
        <is>
          <t>Avg price</t>
        </is>
      </c>
      <c r="N32" s="66" t="inlineStr">
        <is>
          <t>Refunds</t>
        </is>
      </c>
    </row>
    <row r="33">
      <c r="A33" s="69" t="inlineStr">
        <is>
          <t>Pre-event Oct 21 - Nov 19, 2025 (30d)</t>
        </is>
      </c>
      <c r="B33" s="67" t="n"/>
      <c r="C33" s="68" t="n"/>
      <c r="D33" s="70" t="n">
        <v>0</v>
      </c>
      <c r="E33" s="72" t="n">
        <v>0</v>
      </c>
      <c r="F33" s="72" t="n">
        <v>0</v>
      </c>
      <c r="G33" s="72" t="n">
        <v>0</v>
      </c>
      <c r="H33" s="70" t="n">
        <v>0</v>
      </c>
      <c r="J33" s="74" t="n"/>
      <c r="K33" s="72" t="n">
        <v>33</v>
      </c>
      <c r="L33" s="74" t="n">
        <v>0</v>
      </c>
      <c r="M33" s="75" t="n"/>
      <c r="N33" s="72" t="n">
        <v>0</v>
      </c>
    </row>
    <row r="34">
      <c r="A34" s="69" t="inlineStr">
        <is>
          <t>BFCM week Nov 20 - Dec 1, 2025 (12d)</t>
        </is>
      </c>
      <c r="B34" s="67" t="n"/>
      <c r="C34" s="68" t="n"/>
      <c r="D34" s="70" t="n">
        <v>0</v>
      </c>
      <c r="E34" s="72" t="n">
        <v>0</v>
      </c>
      <c r="F34" s="72" t="n">
        <v>0</v>
      </c>
      <c r="G34" s="72" t="n">
        <v>0</v>
      </c>
      <c r="H34" s="70" t="n">
        <v>0</v>
      </c>
      <c r="J34" s="74" t="n"/>
      <c r="K34" s="72" t="n">
        <v>16</v>
      </c>
      <c r="L34" s="74" t="n">
        <v>0</v>
      </c>
      <c r="M34" s="75" t="n"/>
      <c r="N34" s="72" t="n">
        <v>0</v>
      </c>
    </row>
    <row r="35">
      <c r="A35" s="69" t="inlineStr">
        <is>
          <t>December 2 - 31, 2025 (30d)</t>
        </is>
      </c>
      <c r="B35" s="67" t="n"/>
      <c r="C35" s="68" t="n"/>
      <c r="D35" s="70" t="n">
        <v>0</v>
      </c>
      <c r="E35" s="72" t="n">
        <v>0</v>
      </c>
      <c r="F35" s="72" t="n">
        <v>0</v>
      </c>
      <c r="G35" s="72" t="n">
        <v>0</v>
      </c>
      <c r="H35" s="70" t="n">
        <v>0.9</v>
      </c>
      <c r="J35" s="74" t="n"/>
      <c r="K35" s="72" t="n">
        <v>18</v>
      </c>
      <c r="L35" s="74" t="n">
        <v>0</v>
      </c>
      <c r="M35" s="75" t="n"/>
      <c r="N35" s="72" t="n">
        <v>0</v>
      </c>
    </row>
    <row r="36">
      <c r="A36" s="58" t="inlineStr">
        <is>
          <t>SellerBoard, Ecotero account, Amazon parent B0H1N61MK6 plus any of this product's child ASINs SellerBoard lists on their own, UTC days. Lift above uses these actual sales.</t>
        </is>
      </c>
    </row>
    <row r="37" ht="18" customHeight="1">
      <c r="A37" s="110" t="inlineStr">
        <is>
          <t>BFCM 2026 plan (BM, Oct 15, 2026): NOT IN A DEAL. BM confirmed that products without a planned deal are not in any BFCM 2026 deal; they sell at their regular price.</t>
        </is>
      </c>
    </row>
    <row r="38" ht="30" customHeight="1">
      <c r="A38" s="76"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8" t="inlineStr">
        <is>
          <t>No Command Center visibility history for our best child ASIN.</t>
        </is>
      </c>
    </row>
    <row r="40">
      <c r="A40" s="111" t="inlineStr">
        <is>
          <t>No BFCM 2025 PPC data for this product (not advertised or launched after BFCM 2025).</t>
        </is>
      </c>
    </row>
    <row r="42" ht="20" customHeight="1">
      <c r="A42" s="53" t="inlineStr">
        <is>
          <t>4 · COMPETITOR LANDSCAPE (17 mapped)</t>
        </is>
      </c>
    </row>
    <row r="43">
      <c r="A43" s="58"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3"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1" t="inlineStr">
        <is>
          <t>Decolure Waterproof Chair Cover  ·  Amazon.com (US)  ·  Other  ·  BFCM role: Other  ·  Scope: Other</t>
        </is>
      </c>
    </row>
    <row r="2">
      <c r="A2" s="52" t="inlineStr">
        <is>
          <t>← Dashboard</t>
        </is>
      </c>
    </row>
    <row r="3" ht="20" customHeight="1">
      <c r="A3" s="53"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4" t="inlineStr">
        <is>
          <t>Pack of 4, Pack of 6</t>
        </is>
      </c>
      <c r="S4" s="11" t="inlineStr">
        <is>
          <t>Break-even ACoS</t>
        </is>
      </c>
      <c r="T4" s="54" t="inlineStr">
        <is>
          <t>13%</t>
        </is>
      </c>
    </row>
    <row r="5" ht="22" customHeight="1">
      <c r="C5" s="11" t="inlineStr">
        <is>
          <t>Brand</t>
        </is>
      </c>
      <c r="D5" s="54" t="inlineStr">
        <is>
          <t>Decolure</t>
        </is>
      </c>
      <c r="K5" s="11" t="inlineStr">
        <is>
          <t>Colours</t>
        </is>
      </c>
      <c r="L5" s="54" t="inlineStr">
        <is>
          <t>Beige, Black, Chocolate, Grey, Navy Blue, Wine Red</t>
        </is>
      </c>
      <c r="S5" s="11" t="inlineStr">
        <is>
          <t>Units last 28 days</t>
        </is>
      </c>
      <c r="T5" s="54" t="inlineStr">
        <is>
          <t>30</t>
        </is>
      </c>
    </row>
    <row r="6" ht="22" customHeight="1">
      <c r="C6" s="11" t="inlineStr">
        <is>
          <t>Marketplace</t>
        </is>
      </c>
      <c r="D6" s="54" t="inlineStr">
        <is>
          <t>Amazon.com (US)</t>
        </is>
      </c>
      <c r="K6" s="11" t="inlineStr">
        <is>
          <t>Price now, best child</t>
        </is>
      </c>
      <c r="L6" s="54" t="inlineStr">
        <is>
          <t>$39.99 (Helium 10 Xray, 2026-10-13)</t>
        </is>
      </c>
      <c r="S6" s="11" t="inlineStr">
        <is>
          <t>Command Center product ASIN</t>
        </is>
      </c>
      <c r="T6" s="54" t="inlineStr">
        <is>
          <t>B0CY6QPTVJ (one of our child ASINs, not the Amazon parent)</t>
        </is>
      </c>
    </row>
    <row r="7" ht="22" customHeight="1">
      <c r="C7" s="11" t="inlineStr">
        <is>
          <t>Parent ASIN (Amazon)</t>
        </is>
      </c>
      <c r="D7" s="54" t="inlineStr">
        <is>
          <t>B0FB6DM5X9</t>
        </is>
      </c>
      <c r="K7" s="11" t="inlineStr">
        <is>
          <t>Rating / reviews now</t>
        </is>
      </c>
      <c r="L7" s="54" t="inlineStr">
        <is>
          <t>4.5 / 255 (Helium 10 Xray, 2026-10-13)</t>
        </is>
      </c>
    </row>
    <row r="8" ht="22" customHeight="1">
      <c r="C8" s="11" t="inlineStr">
        <is>
          <t>Best-selling child ASIN</t>
        </is>
      </c>
      <c r="D8" s="54" t="inlineStr">
        <is>
          <t>B0CY63VCW1</t>
        </is>
      </c>
      <c r="K8" s="11" t="inlineStr">
        <is>
          <t>Live prices held</t>
        </is>
      </c>
      <c r="L8" s="54" t="inlineStr">
        <is>
          <t>5 of 12 variations</t>
        </is>
      </c>
    </row>
    <row r="9" ht="22" customHeight="1">
      <c r="C9" s="11" t="inlineStr">
        <is>
          <t>Stage</t>
        </is>
      </c>
      <c r="D9" s="54" t="inlineStr">
        <is>
          <t>Liquidation</t>
        </is>
      </c>
      <c r="K9" s="11" t="inlineStr">
        <is>
          <t>Blended price (Command Center)</t>
        </is>
      </c>
      <c r="L9" s="54" t="inlineStr">
        <is>
          <t>$25.24 - fee feed as of 2026-03-30, STALE</t>
        </is>
      </c>
    </row>
    <row r="10">
      <c r="C10" s="11" t="inlineStr">
        <is>
          <t>Total variations (SKUs)</t>
        </is>
      </c>
      <c r="D10" s="54" t="n">
        <v>12</v>
      </c>
      <c r="K10" s="11" t="inlineStr">
        <is>
          <t>Contribution / unit</t>
        </is>
      </c>
      <c r="L10" s="54" t="inlineStr">
        <is>
          <t>$3.20</t>
        </is>
      </c>
    </row>
    <row r="11">
      <c r="A11" s="55" t="inlineStr">
        <is>
          <t>BFCM 2025 LIFT</t>
        </is>
      </c>
      <c r="E11" s="55" t="inlineStr">
        <is>
          <t>BFCM 2025 TACOS</t>
        </is>
      </c>
      <c r="I11" s="55" t="inlineStr">
        <is>
          <t>DEC 2025 VS PRE-EVENT</t>
        </is>
      </c>
      <c r="M11" s="55" t="inlineStr">
        <is>
          <t>COMPETITORS MAPPED</t>
        </is>
      </c>
      <c r="Q11" s="55" t="inlineStr">
        <is>
          <t>PRICED BELOW US</t>
        </is>
      </c>
      <c r="U11" s="55" t="inlineStr">
        <is>
          <t>LIST PRICE WITHIN 12%</t>
        </is>
      </c>
    </row>
    <row r="12" ht="24" customHeight="1">
      <c r="A12" s="56" t="inlineStr">
        <is>
          <t>0.66x</t>
        </is>
      </c>
      <c r="E12" s="56" t="inlineStr">
        <is>
          <t>n/a</t>
        </is>
      </c>
      <c r="I12" s="56" t="inlineStr">
        <is>
          <t>1.35x</t>
        </is>
      </c>
      <c r="M12" s="56" t="inlineStr">
        <is>
          <t>23</t>
        </is>
      </c>
      <c r="Q12" s="56" t="inlineStr">
        <is>
          <t>14</t>
        </is>
      </c>
      <c r="U12" s="56" t="inlineStr">
        <is>
          <t>0</t>
        </is>
      </c>
    </row>
    <row r="13">
      <c r="A13" s="57" t="inlineStr">
        <is>
          <t>daily sales, BFCM wk vs 30 days before (SellerBoard actual)</t>
        </is>
      </c>
      <c r="E13" s="57" t="inlineStr"/>
      <c r="I13" s="57" t="inlineStr">
        <is>
          <t>December daily sales vs Oct 21-Nov 19</t>
        </is>
      </c>
      <c r="M13" s="57" t="inlineStr">
        <is>
          <t>Command Center map</t>
        </is>
      </c>
      <c r="Q13" s="57" t="inlineStr">
        <is>
          <t>same size, else vs our Queen</t>
        </is>
      </c>
      <c r="U13" s="57" t="inlineStr">
        <is>
          <t>List Price set, &lt;=12% above price</t>
        </is>
      </c>
    </row>
    <row r="15" ht="20" customHeight="1">
      <c r="A15" s="53" t="inlineStr">
        <is>
          <t>2 · OUR VARIATIONS (12 listed)</t>
        </is>
      </c>
    </row>
    <row r="16">
      <c r="A16" s="58"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59" t="n">
        <v>39.99</v>
      </c>
      <c r="H18" s="32" t="inlineStr">
        <is>
          <t>Helium 10 Xray, 2026-10-13</t>
        </is>
      </c>
      <c r="I18" s="60" t="n">
        <v>20.99</v>
      </c>
      <c r="J18" s="61" t="inlineStr">
        <is>
          <t>2026-03-30</t>
        </is>
      </c>
      <c r="K18" s="33" t="n">
        <v>-0.5300000000000011</v>
      </c>
      <c r="L18" s="62" t="n">
        <v>-0.02525011910433545</v>
      </c>
      <c r="M18" s="63" t="n">
        <v>10</v>
      </c>
      <c r="N18" s="32" t="inlineStr">
        <is>
          <t>Active</t>
        </is>
      </c>
      <c r="O18" s="32" t="n"/>
      <c r="P18" s="64" t="n">
        <v>4.5</v>
      </c>
      <c r="Q18" s="63" t="n">
        <v>255</v>
      </c>
      <c r="R18" s="63" t="n">
        <v>702445</v>
      </c>
      <c r="S18" s="63"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59" t="n">
        <v>39.99</v>
      </c>
      <c r="H19" s="32" t="inlineStr">
        <is>
          <t>Helium 10 Xray, 2026-10-13</t>
        </is>
      </c>
      <c r="I19" s="60" t="n">
        <v>29.99</v>
      </c>
      <c r="J19" s="61" t="inlineStr">
        <is>
          <t>2026-03-30</t>
        </is>
      </c>
      <c r="K19" s="33" t="n">
        <v>6.51</v>
      </c>
      <c r="L19" s="62" t="n">
        <v>0.2170723574524842</v>
      </c>
      <c r="M19" s="63" t="n">
        <v>9</v>
      </c>
      <c r="N19" s="32" t="inlineStr">
        <is>
          <t>Active</t>
        </is>
      </c>
      <c r="O19" s="32" t="n"/>
      <c r="P19" s="64" t="n">
        <v>4.5</v>
      </c>
      <c r="Q19" s="63" t="n">
        <v>255</v>
      </c>
      <c r="R19" s="63" t="n">
        <v>702445</v>
      </c>
      <c r="S19" s="63"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0" t="n">
        <v>22.49</v>
      </c>
      <c r="J20" s="61" t="inlineStr">
        <is>
          <t>2026-03-30</t>
        </is>
      </c>
      <c r="K20" s="33" t="n">
        <v>2.059999999999997</v>
      </c>
      <c r="L20" s="62" t="n">
        <v>0.09159626500666951</v>
      </c>
      <c r="M20" s="63" t="n">
        <v>3</v>
      </c>
      <c r="N20" s="32" t="inlineStr">
        <is>
          <t>Inactive</t>
        </is>
      </c>
      <c r="O20" s="32" t="n"/>
      <c r="P20" s="64" t="n"/>
      <c r="Q20" s="63" t="n"/>
      <c r="R20" s="63" t="n"/>
      <c r="S20" s="63"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59" t="n">
        <v>29.99</v>
      </c>
      <c r="H21" s="32" t="inlineStr">
        <is>
          <t>Helium 10 Xray, 2026-10-13</t>
        </is>
      </c>
      <c r="I21" s="60" t="n">
        <v>22.49</v>
      </c>
      <c r="J21" s="61" t="inlineStr">
        <is>
          <t>2026-03-30</t>
        </is>
      </c>
      <c r="K21" s="33" t="n">
        <v>3.019999999999996</v>
      </c>
      <c r="L21" s="62" t="n">
        <v>0.1342819030680301</v>
      </c>
      <c r="M21" s="63" t="n">
        <v>2</v>
      </c>
      <c r="N21" s="32" t="inlineStr">
        <is>
          <t>Active</t>
        </is>
      </c>
      <c r="O21" s="32" t="n"/>
      <c r="P21" s="64" t="n">
        <v>4.5</v>
      </c>
      <c r="Q21" s="63" t="n">
        <v>255</v>
      </c>
      <c r="R21" s="63" t="n">
        <v>702445</v>
      </c>
      <c r="S21" s="63"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59" t="n">
        <v>39.99</v>
      </c>
      <c r="H22" s="32" t="inlineStr">
        <is>
          <t>Helium 10 Xray, 2026-10-13</t>
        </is>
      </c>
      <c r="I22" s="60" t="n">
        <v>29.99</v>
      </c>
      <c r="J22" s="61" t="inlineStr">
        <is>
          <t>2026-03-30</t>
        </is>
      </c>
      <c r="K22" s="33" t="n">
        <v>5.989999999999998</v>
      </c>
      <c r="L22" s="62" t="n">
        <v>0.1997332444148049</v>
      </c>
      <c r="M22" s="63" t="n">
        <v>2</v>
      </c>
      <c r="N22" s="32" t="inlineStr">
        <is>
          <t>Active</t>
        </is>
      </c>
      <c r="O22" s="32" t="n"/>
      <c r="P22" s="64" t="n">
        <v>4.5</v>
      </c>
      <c r="Q22" s="63" t="n">
        <v>255</v>
      </c>
      <c r="R22" s="63" t="n">
        <v>702445</v>
      </c>
      <c r="S22" s="63"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0" t="n">
        <v>29.99</v>
      </c>
      <c r="J23" s="61" t="inlineStr">
        <is>
          <t>2026-03-30</t>
        </is>
      </c>
      <c r="K23" s="33" t="n">
        <v>6.66</v>
      </c>
      <c r="L23" s="62" t="n">
        <v>0.2220740246748917</v>
      </c>
      <c r="M23" s="63" t="n">
        <v>2</v>
      </c>
      <c r="N23" s="32" t="inlineStr">
        <is>
          <t>Active</t>
        </is>
      </c>
      <c r="O23" s="32" t="n"/>
      <c r="P23" s="64" t="n"/>
      <c r="Q23" s="63" t="n"/>
      <c r="R23" s="63" t="n"/>
      <c r="S23" s="63"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0" t="n">
        <v>22.49</v>
      </c>
      <c r="J24" s="61" t="inlineStr">
        <is>
          <t>2026-03-30</t>
        </is>
      </c>
      <c r="K24" s="33" t="n">
        <v>2.669999999999996</v>
      </c>
      <c r="L24" s="62" t="n">
        <v>0.118719430858159</v>
      </c>
      <c r="M24" s="63" t="n">
        <v>1</v>
      </c>
      <c r="N24" s="32" t="inlineStr">
        <is>
          <t>Inactive</t>
        </is>
      </c>
      <c r="O24" s="32" t="n"/>
      <c r="P24" s="64" t="n"/>
      <c r="Q24" s="63" t="n"/>
      <c r="R24" s="63" t="n"/>
      <c r="S24" s="63"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59" t="n">
        <v>29.99</v>
      </c>
      <c r="H25" s="32" t="inlineStr">
        <is>
          <t>Helium 10 Xray, 2026-10-13</t>
        </is>
      </c>
      <c r="I25" s="60" t="n">
        <v>22.49</v>
      </c>
      <c r="J25" s="61" t="inlineStr">
        <is>
          <t>2026-03-30</t>
        </is>
      </c>
      <c r="K25" s="33" t="n">
        <v>2.559999999999999</v>
      </c>
      <c r="L25" s="62" t="n">
        <v>0.1138283681636282</v>
      </c>
      <c r="M25" s="63" t="n">
        <v>1</v>
      </c>
      <c r="N25" s="32" t="inlineStr">
        <is>
          <t>Active</t>
        </is>
      </c>
      <c r="O25" s="32" t="n"/>
      <c r="P25" s="64" t="n">
        <v>4.5</v>
      </c>
      <c r="Q25" s="63" t="n">
        <v>255</v>
      </c>
      <c r="R25" s="63" t="n">
        <v>702445</v>
      </c>
      <c r="S25" s="63"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2" t="n"/>
      <c r="M26" s="63" t="n"/>
      <c r="N26" s="32" t="inlineStr">
        <is>
          <t>Inactive</t>
        </is>
      </c>
      <c r="O26" s="32" t="n"/>
      <c r="P26" s="64" t="n"/>
      <c r="Q26" s="63" t="n"/>
      <c r="R26" s="63" t="n"/>
      <c r="S26" s="63"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0" t="n">
        <v>22.49</v>
      </c>
      <c r="J27" s="61" t="inlineStr">
        <is>
          <t>2026-03-12</t>
        </is>
      </c>
      <c r="K27" s="33" t="n">
        <v>2.729999999999999</v>
      </c>
      <c r="L27" s="62" t="n">
        <v>0.1213872832369942</v>
      </c>
      <c r="M27" s="63" t="n"/>
      <c r="N27" s="32" t="inlineStr">
        <is>
          <t>Inactive</t>
        </is>
      </c>
      <c r="O27" s="32" t="n"/>
      <c r="P27" s="64" t="n"/>
      <c r="Q27" s="63" t="n"/>
      <c r="R27" s="63" t="n"/>
      <c r="S27" s="63"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0" t="n">
        <v>29.99</v>
      </c>
      <c r="J28" s="61" t="inlineStr">
        <is>
          <t>2026-03-30</t>
        </is>
      </c>
      <c r="K28" s="33" t="n">
        <v>5.92</v>
      </c>
      <c r="L28" s="62" t="n">
        <v>0.1973991330443481</v>
      </c>
      <c r="M28" s="63" t="n"/>
      <c r="N28" s="32" t="inlineStr">
        <is>
          <t>Inactive</t>
        </is>
      </c>
      <c r="O28" s="32" t="n"/>
      <c r="P28" s="64" t="n"/>
      <c r="Q28" s="63" t="n"/>
      <c r="R28" s="63" t="n"/>
      <c r="S28" s="63"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0" t="n">
        <v>29.99</v>
      </c>
      <c r="J29" s="61" t="inlineStr">
        <is>
          <t>2026-03-30</t>
        </is>
      </c>
      <c r="K29" s="33" t="n">
        <v>6.809999999999997</v>
      </c>
      <c r="L29" s="62" t="n">
        <v>0.227075691897299</v>
      </c>
      <c r="M29" s="63" t="n"/>
      <c r="N29" s="32" t="inlineStr">
        <is>
          <t>Inactive</t>
        </is>
      </c>
      <c r="O29" s="32" t="n"/>
      <c r="P29" s="64" t="n"/>
      <c r="Q29" s="63" t="n"/>
      <c r="R29" s="63" t="n"/>
      <c r="S29" s="63" t="n"/>
      <c r="T29" s="32" t="n"/>
    </row>
    <row r="31" ht="20" customHeight="1">
      <c r="A31" s="53" t="inlineStr">
        <is>
          <t>3 · OUR BFCM 2025 RESULT &amp; EVENT VISIBILITY</t>
        </is>
      </c>
    </row>
    <row r="32">
      <c r="A32" s="66" t="inlineStr">
        <is>
          <t>Window</t>
        </is>
      </c>
      <c r="B32" s="67" t="n"/>
      <c r="C32" s="68" t="n"/>
      <c r="D32" s="66" t="inlineStr">
        <is>
          <t>Ad spend</t>
        </is>
      </c>
      <c r="E32" s="66" t="inlineStr">
        <is>
          <t>Ad sales</t>
        </is>
      </c>
      <c r="F32" s="66" t="inlineStr">
        <is>
          <t>ACoS</t>
        </is>
      </c>
      <c r="G32" s="66" t="inlineStr">
        <is>
          <t>TACoS</t>
        </is>
      </c>
      <c r="H32" s="66" t="inlineStr">
        <is>
          <t>Total sales (derived)</t>
        </is>
      </c>
      <c r="J32" s="66" t="inlineStr">
        <is>
          <t>Ad orders</t>
        </is>
      </c>
      <c r="K32" s="66" t="inlineStr">
        <is>
          <t>CVR</t>
        </is>
      </c>
    </row>
    <row r="33">
      <c r="A33" s="69" t="inlineStr">
        <is>
          <t>Pre-event Oct 21 - Nov 19, 2025 (30d)</t>
        </is>
      </c>
      <c r="B33" s="67" t="n"/>
      <c r="C33" s="68" t="n"/>
      <c r="D33" s="70" t="n"/>
      <c r="E33" s="70" t="n"/>
      <c r="F33" s="71" t="n"/>
      <c r="G33" s="71" t="n"/>
      <c r="H33" s="70" t="n"/>
      <c r="J33" s="72" t="n"/>
      <c r="K33" s="73" t="n"/>
    </row>
    <row r="34">
      <c r="A34" s="69" t="inlineStr">
        <is>
          <t>BFCM week Nov 20 - Dec 1, 2025 (12d)</t>
        </is>
      </c>
      <c r="B34" s="67" t="n"/>
      <c r="C34" s="68" t="n"/>
      <c r="D34" s="70" t="n"/>
      <c r="E34" s="70" t="n"/>
      <c r="F34" s="71" t="n"/>
      <c r="G34" s="71" t="n"/>
      <c r="H34" s="70" t="n"/>
      <c r="J34" s="72" t="n"/>
      <c r="K34" s="73" t="n"/>
    </row>
    <row r="35">
      <c r="A35" s="69" t="inlineStr">
        <is>
          <t>December 2 - 31, 2025 (30d)</t>
        </is>
      </c>
      <c r="B35" s="67" t="n"/>
      <c r="C35" s="68" t="n"/>
      <c r="D35" s="70" t="n"/>
      <c r="E35" s="70" t="n"/>
      <c r="F35" s="71" t="n"/>
      <c r="G35" s="71" t="n"/>
      <c r="H35" s="70" t="n"/>
      <c r="J35" s="72" t="n"/>
      <c r="K35" s="73" t="n"/>
    </row>
    <row r="37">
      <c r="A37" s="66" t="inlineStr">
        <is>
          <t>Actual sales (SellerBoard)</t>
        </is>
      </c>
      <c r="B37" s="67" t="n"/>
      <c r="C37" s="68" t="n"/>
      <c r="D37" s="66" t="inlineStr">
        <is>
          <t>Sales</t>
        </is>
      </c>
      <c r="E37" s="66" t="inlineStr">
        <is>
          <t>Units</t>
        </is>
      </c>
      <c r="F37" s="66" t="inlineStr">
        <is>
          <t>Organic units</t>
        </is>
      </c>
      <c r="G37" s="66" t="inlineStr">
        <is>
          <t>Ad units</t>
        </is>
      </c>
      <c r="H37" s="66" t="inlineStr">
        <is>
          <t>Ad cost</t>
        </is>
      </c>
      <c r="J37" s="66" t="inlineStr">
        <is>
          <t>TACoS (actual)</t>
        </is>
      </c>
      <c r="K37" s="66" t="inlineStr">
        <is>
          <t>Sessions</t>
        </is>
      </c>
      <c r="L37" s="66" t="inlineStr">
        <is>
          <t>Unit session %</t>
        </is>
      </c>
      <c r="M37" s="66" t="inlineStr">
        <is>
          <t>Avg price</t>
        </is>
      </c>
      <c r="N37" s="66" t="inlineStr">
        <is>
          <t>Refunds</t>
        </is>
      </c>
    </row>
    <row r="38">
      <c r="A38" s="69" t="inlineStr">
        <is>
          <t>Pre-event Oct 21 - Nov 19, 2025 (30d)</t>
        </is>
      </c>
      <c r="B38" s="67" t="n"/>
      <c r="C38" s="68" t="n"/>
      <c r="D38" s="70" t="n">
        <v>683.83</v>
      </c>
      <c r="E38" s="72" t="n">
        <v>17</v>
      </c>
      <c r="F38" s="72" t="n">
        <v>17</v>
      </c>
      <c r="G38" s="72" t="n">
        <v>0</v>
      </c>
      <c r="H38" s="70" t="n">
        <v>82.90000000000001</v>
      </c>
      <c r="J38" s="74" t="n">
        <v>0.121228960414138</v>
      </c>
      <c r="K38" s="72" t="n">
        <v>656</v>
      </c>
      <c r="L38" s="74" t="n">
        <v>0.02591463414634146</v>
      </c>
      <c r="M38" s="75" t="n">
        <v>40.22529411764706</v>
      </c>
      <c r="N38" s="72" t="n">
        <v>4</v>
      </c>
    </row>
    <row r="39">
      <c r="A39" s="69" t="inlineStr">
        <is>
          <t>BFCM week Nov 20 - Dec 1, 2025 (12d)</t>
        </is>
      </c>
      <c r="B39" s="67" t="n"/>
      <c r="C39" s="68" t="n"/>
      <c r="D39" s="70" t="n">
        <v>179.95</v>
      </c>
      <c r="E39" s="72" t="n">
        <v>5</v>
      </c>
      <c r="F39" s="72" t="n">
        <v>5</v>
      </c>
      <c r="G39" s="72" t="n">
        <v>0</v>
      </c>
      <c r="H39" s="70" t="n">
        <v>7.79</v>
      </c>
      <c r="J39" s="74" t="n">
        <v>0.04328980272297861</v>
      </c>
      <c r="K39" s="72" t="n">
        <v>193</v>
      </c>
      <c r="L39" s="74" t="n">
        <v>0.02590673575129534</v>
      </c>
      <c r="M39" s="75" t="n">
        <v>35.98999999999999</v>
      </c>
      <c r="N39" s="72" t="n">
        <v>1</v>
      </c>
    </row>
    <row r="40">
      <c r="A40" s="69" t="inlineStr">
        <is>
          <t>December 2 - 31, 2025 (30d)</t>
        </is>
      </c>
      <c r="B40" s="67" t="n"/>
      <c r="C40" s="68" t="n"/>
      <c r="D40" s="70" t="n">
        <v>921.75</v>
      </c>
      <c r="E40" s="72" t="n">
        <v>25</v>
      </c>
      <c r="F40" s="72" t="n">
        <v>16</v>
      </c>
      <c r="G40" s="72" t="n">
        <v>9</v>
      </c>
      <c r="H40" s="70" t="n">
        <v>63.36</v>
      </c>
      <c r="J40" s="74" t="n">
        <v>0.06873881204231082</v>
      </c>
      <c r="K40" s="72" t="n">
        <v>520</v>
      </c>
      <c r="L40" s="74" t="n">
        <v>0.04807692307692309</v>
      </c>
      <c r="M40" s="75" t="n">
        <v>36.87</v>
      </c>
      <c r="N40" s="72" t="n">
        <v>2</v>
      </c>
    </row>
    <row r="41">
      <c r="A41" s="58" t="inlineStr">
        <is>
          <t>SellerBoard, Ecotero account, Amazon parent B0FB6DM5X9 plus any of this product's child ASINs SellerBoard lists on their own, UTC days. Lift above uses these actual sales.</t>
        </is>
      </c>
    </row>
    <row r="42" ht="30" customHeight="1">
      <c r="A42" s="76"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7" t="inlineStr">
        <is>
          <t>BFCM 2026 plan (BM, Oct 15, 2026): Best Deal 11/19-11/30. Deal price and depth not yet given; not yet visible in Amazon's deal feed.</t>
        </is>
      </c>
    </row>
    <row r="44" ht="18" customHeight="1">
      <c r="A44" s="79" t="inlineStr">
        <is>
          <t>ASSUMED 2026 deal prices, until BM's final: B0CY63VCW1 today $39.99; $33.99 at 15% off (Nov 19-26) and $31.99 at 20% off (Nov 27-30 (Black Friday to Cyber Monday)). Rule: Umair Tahir via Shayan Rana, Oct 15, 2026. Evidence: our BFCM 2025 deal on B0CY63VCW1 (US, Keepa): $41.99 before, $39.99 during, 5% off; US competitors' median price cut in BFCM 2025: 30% (3 rivals). Amazon may use a lower reference price than today's (it sets it the day before the deal), which would lower the deal price.</t>
        </is>
      </c>
    </row>
    <row r="45" ht="30" customHeight="1">
      <c r="A45" s="76"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8" t="inlineStr">
        <is>
          <t>No Command Center visibility history for our best child ASIN.</t>
        </is>
      </c>
    </row>
    <row r="47">
      <c r="A47" s="111" t="inlineStr">
        <is>
          <t>No BFCM 2025 PPC data for this product (not advertised or launched after BFCM 2025).</t>
        </is>
      </c>
    </row>
    <row r="49" ht="20" customHeight="1">
      <c r="A49" s="53" t="inlineStr">
        <is>
          <t>4 · COMPETITOR LANDSCAPE (23 mapped)</t>
        </is>
      </c>
    </row>
    <row r="50">
      <c r="A50" s="58"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3"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B4'!BC124</f>
        <v/>
      </c>
      <c r="AE2" s="113">
        <f>'US DC B4'!BF124</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B4'!BC125</f>
        <v/>
      </c>
      <c r="AE3" s="113">
        <f>'US DC B4'!BF125</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B4'!BC126</f>
        <v/>
      </c>
      <c r="AE4" s="113">
        <f>'US DC B4'!BF126</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B4'!BC127</f>
        <v/>
      </c>
      <c r="AE5" s="113">
        <f>'US DC B4'!BF127</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B4'!BC128</f>
        <v/>
      </c>
      <c r="AE6" s="113">
        <f>'US DC B4'!BF128</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B4'!BC129</f>
        <v/>
      </c>
      <c r="AE7" s="113">
        <f>'US DC B4'!BF129</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B4'!BC130</f>
        <v/>
      </c>
      <c r="AE8" s="113">
        <f>'US DC B4'!BF130</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B4'!BC131</f>
        <v/>
      </c>
      <c r="AE9" s="113">
        <f>'US DC B4'!BF131</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B4'!BC132</f>
        <v/>
      </c>
      <c r="AE10" s="113">
        <f>'US DC B4'!BF132</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B4'!BC133</f>
        <v/>
      </c>
      <c r="AE11" s="113">
        <f>'US DC B4'!BF133</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B4'!BC134</f>
        <v/>
      </c>
      <c r="AE12" s="113">
        <f>'US DC B4'!BF134</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B4'!BC135</f>
        <v/>
      </c>
      <c r="AE13" s="113">
        <f>'US DC B4'!BF135</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B4'!BC136</f>
        <v/>
      </c>
      <c r="AE14" s="113">
        <f>'US DC B4'!BF136</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B4'!BC137</f>
        <v/>
      </c>
      <c r="AE15" s="113">
        <f>'US DC B4'!BF137</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B4'!BC138</f>
        <v/>
      </c>
      <c r="AE16" s="113">
        <f>'US DC B4'!BF138</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B4'!BC139</f>
        <v/>
      </c>
      <c r="AE17" s="113">
        <f>'US DC B4'!BF139</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B4'!BC140</f>
        <v/>
      </c>
      <c r="AE18" s="113">
        <f>'US DC B4'!BF140</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B4'!BC141</f>
        <v/>
      </c>
      <c r="AE19" s="113">
        <f>'US DC B4'!BF141</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B4'!BC142</f>
        <v/>
      </c>
      <c r="AE20" s="113">
        <f>'US DC B4'!BF142</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B4'!BC143</f>
        <v/>
      </c>
      <c r="AE21" s="113">
        <f>'US DC B4'!BF143</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B4'!BC144</f>
        <v/>
      </c>
      <c r="AE22" s="113">
        <f>'US DC B4'!BF144</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B4'!BC145</f>
        <v/>
      </c>
      <c r="AE23" s="113">
        <f>'US DC B4'!BF145</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B4'!BC146</f>
        <v/>
      </c>
      <c r="AE24" s="113">
        <f>'US DC B4'!BF146</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B4'!BC147</f>
        <v/>
      </c>
      <c r="AE25" s="113">
        <f>'US DC B4'!BF147</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B4'!BC148</f>
        <v/>
      </c>
      <c r="AE26" s="113">
        <f>'US DC B4'!BF148</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B4'!BC149</f>
        <v/>
      </c>
      <c r="AE27" s="113">
        <f>'US DC B4'!BF149</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B4'!BC150</f>
        <v/>
      </c>
      <c r="AE28" s="113">
        <f>'US DC B4'!BF150</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B4'!BC151</f>
        <v/>
      </c>
      <c r="AE29" s="113">
        <f>'US DC B4'!BF151</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B4'!BC152</f>
        <v/>
      </c>
      <c r="AE30" s="113">
        <f>'US DC B4'!BF152</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B4'!BC153</f>
        <v/>
      </c>
      <c r="AE31" s="113">
        <f>'US DC B4'!BF153</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B4'!BC154</f>
        <v/>
      </c>
      <c r="AE32" s="113">
        <f>'US DC B4'!BF154</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B4'!BC155</f>
        <v/>
      </c>
      <c r="AE33" s="113">
        <f>'US DC B4'!BF155</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B4'!BC156</f>
        <v/>
      </c>
      <c r="AE34" s="113">
        <f>'US DC B4'!BF156</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B4'!BC157</f>
        <v/>
      </c>
      <c r="AE35" s="113">
        <f>'US DC B4'!BF157</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B4'!BC158</f>
        <v/>
      </c>
      <c r="AE36" s="113">
        <f>'US DC B4'!BF158</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B4'!BC159</f>
        <v/>
      </c>
      <c r="AE37" s="113">
        <f>'US DC B4'!BF159</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B4'!BC160</f>
        <v/>
      </c>
      <c r="AE38" s="113">
        <f>'US DC B4'!BF160</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B4'!BC161</f>
        <v/>
      </c>
      <c r="AE39" s="113">
        <f>'US DC B4'!BF161</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B4'!BC162</f>
        <v/>
      </c>
      <c r="AE40" s="113">
        <f>'US DC B4'!BF162</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B4'!BC163</f>
        <v/>
      </c>
      <c r="AE41" s="113">
        <f>'US DC B4'!BF163</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B4'!BC164</f>
        <v/>
      </c>
      <c r="AE42" s="113">
        <f>'US DC B4'!BF164</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B4'!BC165</f>
        <v/>
      </c>
      <c r="AE43" s="113">
        <f>'US DC B4'!BF165</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B4'!BC166</f>
        <v/>
      </c>
      <c r="AE44" s="113">
        <f>'US DC B4'!BF166</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B4'!BC167</f>
        <v/>
      </c>
      <c r="AE45" s="113">
        <f>'US DC B4'!BF167</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B4'!BC168</f>
        <v/>
      </c>
      <c r="AE46" s="113">
        <f>'US DC B4'!BF168</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B4'!BC169</f>
        <v/>
      </c>
      <c r="AE47" s="113">
        <f>'US DC B4'!BF169</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B4'!BC170</f>
        <v/>
      </c>
      <c r="AE48" s="113">
        <f>'US DC B4'!BF170</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B4'!BC171</f>
        <v/>
      </c>
      <c r="AE49" s="113">
        <f>'US DC B4'!BF171</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B4'!BC172</f>
        <v/>
      </c>
      <c r="AE50" s="113">
        <f>'US DC B4'!BF172</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B4'!BC173</f>
        <v/>
      </c>
      <c r="AE51" s="113">
        <f>'US DC B4'!BF173</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B4'!BC174</f>
        <v/>
      </c>
      <c r="AE52" s="113">
        <f>'US DC B4'!BF174</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B4'!BC175</f>
        <v/>
      </c>
      <c r="AE53" s="113">
        <f>'US DC B4'!BF175</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B4'!BC176</f>
        <v/>
      </c>
      <c r="AE54" s="113">
        <f>'US DC B4'!BF176</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B4'!BC177</f>
        <v/>
      </c>
      <c r="AE55" s="113">
        <f>'US DC B4'!BF177</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B4'!BC178</f>
        <v/>
      </c>
      <c r="AE56" s="113">
        <f>'US DC B4'!BF178</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B4'!BC179</f>
        <v/>
      </c>
      <c r="AE57" s="113">
        <f>'US DC B4'!BF179</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B4'!BC180</f>
        <v/>
      </c>
      <c r="AE58" s="113">
        <f>'US DC B4'!BF180</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B4'!BC181</f>
        <v/>
      </c>
      <c r="AE59" s="113">
        <f>'US DC B4'!BF181</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B4'!BC182</f>
        <v/>
      </c>
      <c r="AE60" s="113">
        <f>'US DC B4'!BF182</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B4'!BC183</f>
        <v/>
      </c>
      <c r="AE61" s="113">
        <f>'US DC B4'!BF183</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B4'!BC184</f>
        <v/>
      </c>
      <c r="AE62" s="113">
        <f>'US DC B4'!BF184</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B4'!BC123</f>
        <v/>
      </c>
      <c r="AE63" s="113">
        <f>'CA DC B4'!BF123</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B4'!BC124</f>
        <v/>
      </c>
      <c r="AE64" s="113">
        <f>'CA DC B4'!BF124</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B4'!BC125</f>
        <v/>
      </c>
      <c r="AE65" s="113">
        <f>'CA DC B4'!BF125</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B4'!BC126</f>
        <v/>
      </c>
      <c r="AE66" s="113">
        <f>'CA DC B4'!BF126</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B4'!BC127</f>
        <v/>
      </c>
      <c r="AE67" s="113">
        <f>'CA DC B4'!BF127</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B4'!BC128</f>
        <v/>
      </c>
      <c r="AE68" s="113">
        <f>'CA DC B4'!BF128</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B4'!BC129</f>
        <v/>
      </c>
      <c r="AE69" s="113">
        <f>'CA DC B4'!BF129</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B4'!BC130</f>
        <v/>
      </c>
      <c r="AE70" s="113">
        <f>'CA DC B4'!BF130</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B4'!BC131</f>
        <v/>
      </c>
      <c r="AE71" s="113">
        <f>'CA DC B4'!BF131</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B4'!BC132</f>
        <v/>
      </c>
      <c r="AE72" s="113">
        <f>'CA DC B4'!BF132</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B4'!BC133</f>
        <v/>
      </c>
      <c r="AE73" s="113">
        <f>'CA DC B4'!BF133</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B4'!BC134</f>
        <v/>
      </c>
      <c r="AE74" s="113">
        <f>'CA DC B4'!BF134</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B4'!BC135</f>
        <v/>
      </c>
      <c r="AE75" s="113">
        <f>'CA DC B4'!BF135</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B4'!BC136</f>
        <v/>
      </c>
      <c r="AE76" s="113">
        <f>'CA DC B4'!BF136</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B4'!BC137</f>
        <v/>
      </c>
      <c r="AE77" s="113">
        <f>'CA DC B4'!BF137</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B6'!BC129</f>
        <v/>
      </c>
      <c r="AE78" s="113">
        <f>'US DC B6'!BF129</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B6'!BC130</f>
        <v/>
      </c>
      <c r="AE79" s="113">
        <f>'US DC B6'!BF130</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B6'!BC131</f>
        <v/>
      </c>
      <c r="AE80" s="113">
        <f>'US DC B6'!BF131</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B6'!BC132</f>
        <v/>
      </c>
      <c r="AE81" s="113">
        <f>'US DC B6'!BF132</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B6'!BC133</f>
        <v/>
      </c>
      <c r="AE82" s="113">
        <f>'US DC B6'!BF133</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B6'!BC134</f>
        <v/>
      </c>
      <c r="AE83" s="113">
        <f>'US DC B6'!BF134</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B6'!BC135</f>
        <v/>
      </c>
      <c r="AE84" s="113">
        <f>'US DC B6'!BF135</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B6'!BC136</f>
        <v/>
      </c>
      <c r="AE85" s="113">
        <f>'US DC B6'!BF136</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B6'!BC137</f>
        <v/>
      </c>
      <c r="AE86" s="113">
        <f>'US DC B6'!BF137</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B6'!BC138</f>
        <v/>
      </c>
      <c r="AE87" s="113">
        <f>'US DC B6'!BF138</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B6'!BC139</f>
        <v/>
      </c>
      <c r="AE88" s="113">
        <f>'US DC B6'!BF139</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B6'!BC140</f>
        <v/>
      </c>
      <c r="AE89" s="113">
        <f>'US DC B6'!BF140</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B6'!BC141</f>
        <v/>
      </c>
      <c r="AE90" s="113">
        <f>'US DC B6'!BF141</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B6'!BC142</f>
        <v/>
      </c>
      <c r="AE91" s="113">
        <f>'US DC B6'!BF142</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B6'!BC143</f>
        <v/>
      </c>
      <c r="AE92" s="113">
        <f>'US DC B6'!BF143</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B6'!BC144</f>
        <v/>
      </c>
      <c r="AE93" s="113">
        <f>'US DC B6'!BF144</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B6'!BC145</f>
        <v/>
      </c>
      <c r="AE94" s="113">
        <f>'US DC B6'!BF145</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B6'!BC146</f>
        <v/>
      </c>
      <c r="AE95" s="113">
        <f>'US DC B6'!BF146</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B6'!BC147</f>
        <v/>
      </c>
      <c r="AE96" s="113">
        <f>'US DC B6'!BF147</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B6'!BC148</f>
        <v/>
      </c>
      <c r="AE97" s="113">
        <f>'US DC B6'!BF148</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B6'!BC149</f>
        <v/>
      </c>
      <c r="AE98" s="113">
        <f>'US DC B6'!BF149</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B6'!BC150</f>
        <v/>
      </c>
      <c r="AE99" s="113">
        <f>'US DC B6'!BF150</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B6'!BC151</f>
        <v/>
      </c>
      <c r="AE100" s="113">
        <f>'US DC B6'!BF151</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B6'!BC152</f>
        <v/>
      </c>
      <c r="AE101" s="113">
        <f>'US DC B6'!BF152</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B6'!BC153</f>
        <v/>
      </c>
      <c r="AE102" s="113">
        <f>'US DC B6'!BF153</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B6'!BC154</f>
        <v/>
      </c>
      <c r="AE103" s="113">
        <f>'US DC B6'!BF154</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B6'!BC155</f>
        <v/>
      </c>
      <c r="AE104" s="113">
        <f>'US DC B6'!BF155</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B6'!BC156</f>
        <v/>
      </c>
      <c r="AE105" s="113">
        <f>'US DC B6'!BF156</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B6'!BC157</f>
        <v/>
      </c>
      <c r="AE106" s="113">
        <f>'US DC B6'!BF157</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B6'!BC158</f>
        <v/>
      </c>
      <c r="AE107" s="113">
        <f>'US DC B6'!BF158</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B6'!BC159</f>
        <v/>
      </c>
      <c r="AE108" s="113">
        <f>'US DC B6'!BF159</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B6'!BC160</f>
        <v/>
      </c>
      <c r="AE109" s="113">
        <f>'US DC B6'!BF160</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B6'!BC161</f>
        <v/>
      </c>
      <c r="AE110" s="113">
        <f>'US DC B6'!BF161</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B6'!BC162</f>
        <v/>
      </c>
      <c r="AE111" s="113">
        <f>'US DC B6'!BF162</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B6'!BC163</f>
        <v/>
      </c>
      <c r="AE112" s="113">
        <f>'US DC B6'!BF163</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B6'!BC164</f>
        <v/>
      </c>
      <c r="AE113" s="113">
        <f>'US DC B6'!BF164</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B6'!BC165</f>
        <v/>
      </c>
      <c r="AE114" s="113">
        <f>'US DC B6'!BF165</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B6'!BC166</f>
        <v/>
      </c>
      <c r="AE115" s="113">
        <f>'US DC B6'!BF166</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B6'!BC167</f>
        <v/>
      </c>
      <c r="AE116" s="113">
        <f>'US DC B6'!BF167</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B6'!BC168</f>
        <v/>
      </c>
      <c r="AE117" s="113">
        <f>'US DC B6'!BF168</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B6'!BC169</f>
        <v/>
      </c>
      <c r="AE118" s="113">
        <f>'US DC B6'!BF169</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B6'!BC170</f>
        <v/>
      </c>
      <c r="AE119" s="113">
        <f>'US DC B6'!BF170</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B6'!BC171</f>
        <v/>
      </c>
      <c r="AE120" s="113">
        <f>'US DC B6'!BF171</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B6'!BC172</f>
        <v/>
      </c>
      <c r="AE121" s="113">
        <f>'US DC B6'!BF172</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B6'!BC173</f>
        <v/>
      </c>
      <c r="AE122" s="113">
        <f>'US DC B6'!BF173</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B6'!BC174</f>
        <v/>
      </c>
      <c r="AE123" s="113">
        <f>'US DC B6'!BF174</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B6'!BC175</f>
        <v/>
      </c>
      <c r="AE124" s="113">
        <f>'US DC B6'!BF175</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B6'!BC176</f>
        <v/>
      </c>
      <c r="AE125" s="113">
        <f>'US DC B6'!BF176</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B6'!BC177</f>
        <v/>
      </c>
      <c r="AE126" s="113">
        <f>'US DC B6'!BF177</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B6'!BC178</f>
        <v/>
      </c>
      <c r="AE127" s="113">
        <f>'US DC B6'!BF178</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B6'!BC179</f>
        <v/>
      </c>
      <c r="AE128" s="113">
        <f>'US DC B6'!BF179</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B6'!BC180</f>
        <v/>
      </c>
      <c r="AE129" s="113">
        <f>'US DC B6'!BF180</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B6'!BC181</f>
        <v/>
      </c>
      <c r="AE130" s="113">
        <f>'US DC B6'!BF181</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B6'!BC182</f>
        <v/>
      </c>
      <c r="AE131" s="113">
        <f>'US DC B6'!BF182</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B6'!BC183</f>
        <v/>
      </c>
      <c r="AE132" s="113">
        <f>'US DC B6'!BF183</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B6'!BC184</f>
        <v/>
      </c>
      <c r="AE133" s="113">
        <f>'US DC B6'!BF184</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B6'!BC185</f>
        <v/>
      </c>
      <c r="AE134" s="113">
        <f>'US DC B6'!BF185</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B6'!BC186</f>
        <v/>
      </c>
      <c r="AE135" s="113">
        <f>'US DC B6'!BF186</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B6'!BC187</f>
        <v/>
      </c>
      <c r="AE136" s="113">
        <f>'US DC B6'!BF187</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B6'!BC188</f>
        <v/>
      </c>
      <c r="AE137" s="113">
        <f>'US DC B6'!BF188</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B6'!BC189</f>
        <v/>
      </c>
      <c r="AE138" s="113">
        <f>'US DC B6'!BF189</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B6'!BC125</f>
        <v/>
      </c>
      <c r="AE147" s="113">
        <f>'US SL B6'!BF125</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68.48999999999999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B6'!BC126</f>
        <v/>
      </c>
      <c r="AE148" s="113">
        <f>'US SL B6'!BF126</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B6'!BC127</f>
        <v/>
      </c>
      <c r="AE149" s="113">
        <f>'US SL B6'!BF127</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B6'!BC128</f>
        <v/>
      </c>
      <c r="AE150" s="113">
        <f>'US SL B6'!BF128</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B6'!BC129</f>
        <v/>
      </c>
      <c r="AE151" s="113">
        <f>'US SL B6'!BF129</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68.48999999999999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B6'!BC130</f>
        <v/>
      </c>
      <c r="AE152" s="113">
        <f>'US SL B6'!BF130</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68.48999999999999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B6'!BC131</f>
        <v/>
      </c>
      <c r="AE153" s="113">
        <f>'US SL B6'!BF131</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B6'!BC132</f>
        <v/>
      </c>
      <c r="AE154" s="113">
        <f>'US SL B6'!BF132</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B6'!BC133</f>
        <v/>
      </c>
      <c r="AE155" s="113">
        <f>'US SL B6'!BF133</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B6'!BC134</f>
        <v/>
      </c>
      <c r="AE156" s="113">
        <f>'US SL B6'!BF134</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68.48999999999999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B6'!BC135</f>
        <v/>
      </c>
      <c r="AE157" s="113">
        <f>'US SL B6'!BF135</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68.48999999999999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B6'!BC136</f>
        <v/>
      </c>
      <c r="AE158" s="113">
        <f>'US SL B6'!BF136</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68.48999999999999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B6'!BC137</f>
        <v/>
      </c>
      <c r="AE159" s="113">
        <f>'US SL B6'!BF137</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68.48999999999999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B6'!BC138</f>
        <v/>
      </c>
      <c r="AE160" s="113">
        <f>'US SL B6'!BF138</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B6'!BC139</f>
        <v/>
      </c>
      <c r="AE161" s="113">
        <f>'US SL B6'!BF139</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B6'!BC140</f>
        <v/>
      </c>
      <c r="AE162" s="113">
        <f>'US SL B6'!BF140</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B6'!BC141</f>
        <v/>
      </c>
      <c r="AE163" s="113">
        <f>'US SL B6'!BF141</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68.48999999999999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B6'!BC142</f>
        <v/>
      </c>
      <c r="AE164" s="113">
        <f>'US SL B6'!BF142</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68.48999999999999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B6'!BC143</f>
        <v/>
      </c>
      <c r="AE165" s="113">
        <f>'US SL B6'!BF143</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68.48999999999999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B6'!BC144</f>
        <v/>
      </c>
      <c r="AE166" s="113">
        <f>'US SL B6'!BF144</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68.48999999999999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B6'!BC145</f>
        <v/>
      </c>
      <c r="AE167" s="113">
        <f>'US SL B6'!BF145</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B6'!BC146</f>
        <v/>
      </c>
      <c r="AE168" s="113">
        <f>'US SL B6'!BF146</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68.48999999999999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B6'!BC147</f>
        <v/>
      </c>
      <c r="AE169" s="113">
        <f>'US SL B6'!BF147</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B6'!BC148</f>
        <v/>
      </c>
      <c r="AE170" s="113">
        <f>'US SL B6'!BF148</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68.48999999999999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B6'!BC149</f>
        <v/>
      </c>
      <c r="AE171" s="113">
        <f>'US SL B6'!BF149</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B6'!BC150</f>
        <v/>
      </c>
      <c r="AE172" s="113">
        <f>'US SL B6'!BF150</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B6'!BC151</f>
        <v/>
      </c>
      <c r="AE173" s="113">
        <f>'US SL B6'!BF151</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B6'!BC152</f>
        <v/>
      </c>
      <c r="AE174" s="113">
        <f>'US SL B6'!BF152</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B6'!BC153</f>
        <v/>
      </c>
      <c r="AE175" s="113">
        <f>'US SL B6'!BF153</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B6'!BC154</f>
        <v/>
      </c>
      <c r="AE176" s="113">
        <f>'US SL B6'!BF154</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S4'!BC161</f>
        <v/>
      </c>
      <c r="AE226" s="113">
        <f>'US DC S4'!BF161</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S4'!BC162</f>
        <v/>
      </c>
      <c r="AE227" s="113">
        <f>'US DC S4'!BF162</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S4'!BC163</f>
        <v/>
      </c>
      <c r="AE228" s="113">
        <f>'US DC S4'!BF163</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S4'!BC164</f>
        <v/>
      </c>
      <c r="AE229" s="113">
        <f>'US DC S4'!BF164</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S4'!BC165</f>
        <v/>
      </c>
      <c r="AE230" s="113">
        <f>'US DC S4'!BF165</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S4'!BC166</f>
        <v/>
      </c>
      <c r="AE231" s="113">
        <f>'US DC S4'!BF166</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S4'!BC167</f>
        <v/>
      </c>
      <c r="AE232" s="113">
        <f>'US DC S4'!BF167</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S4'!BC168</f>
        <v/>
      </c>
      <c r="AE233" s="113">
        <f>'US DC S4'!BF168</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S4'!BC169</f>
        <v/>
      </c>
      <c r="AE234" s="113">
        <f>'US DC S4'!BF169</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S4'!BC170</f>
        <v/>
      </c>
      <c r="AE235" s="113">
        <f>'US DC S4'!BF170</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S4'!BC171</f>
        <v/>
      </c>
      <c r="AE236" s="113">
        <f>'US DC S4'!BF171</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S4'!BC172</f>
        <v/>
      </c>
      <c r="AE237" s="113">
        <f>'US DC S4'!BF172</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S4'!BC173</f>
        <v/>
      </c>
      <c r="AE238" s="113">
        <f>'US DC S4'!BF173</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S4'!BC174</f>
        <v/>
      </c>
      <c r="AE239" s="113">
        <f>'US DC S4'!BF174</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S4'!BC175</f>
        <v/>
      </c>
      <c r="AE240" s="113">
        <f>'US DC S4'!BF175</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S4'!BC176</f>
        <v/>
      </c>
      <c r="AE241" s="113">
        <f>'US DC S4'!BF176</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S4'!BC177</f>
        <v/>
      </c>
      <c r="AE242" s="113">
        <f>'US DC S4'!BF177</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S4'!BC178</f>
        <v/>
      </c>
      <c r="AE243" s="113">
        <f>'US DC S4'!BF178</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S4'!BC179</f>
        <v/>
      </c>
      <c r="AE244" s="113">
        <f>'US DC S4'!BF179</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S4'!BC180</f>
        <v/>
      </c>
      <c r="AE245" s="113">
        <f>'US DC S4'!BF180</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S4'!BC181</f>
        <v/>
      </c>
      <c r="AE246" s="113">
        <f>'US DC S4'!BF181</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S4'!BC182</f>
        <v/>
      </c>
      <c r="AE247" s="113">
        <f>'US DC S4'!BF182</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S4'!BC183</f>
        <v/>
      </c>
      <c r="AE248" s="113">
        <f>'US DC S4'!BF183</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S4'!BC184</f>
        <v/>
      </c>
      <c r="AE249" s="113">
        <f>'US DC S4'!BF184</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S4'!BC185</f>
        <v/>
      </c>
      <c r="AE250" s="113">
        <f>'US DC S4'!BF185</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S4'!BC186</f>
        <v/>
      </c>
      <c r="AE251" s="113">
        <f>'US DC S4'!BF186</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S6'!BC161</f>
        <v/>
      </c>
      <c r="AE267" s="113">
        <f>'US DC S6'!BF161</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S6'!BC162</f>
        <v/>
      </c>
      <c r="AE268" s="113">
        <f>'US DC S6'!BF162</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S6'!BC163</f>
        <v/>
      </c>
      <c r="AE269" s="113">
        <f>'US DC S6'!BF163</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S6'!BC164</f>
        <v/>
      </c>
      <c r="AE270" s="113">
        <f>'US DC S6'!BF164</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S6'!BC165</f>
        <v/>
      </c>
      <c r="AE271" s="113">
        <f>'US DC S6'!BF165</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S6'!BC166</f>
        <v/>
      </c>
      <c r="AE272" s="113">
        <f>'US DC S6'!BF166</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S6'!BC167</f>
        <v/>
      </c>
      <c r="AE273" s="113">
        <f>'US DC S6'!BF167</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S6'!BC168</f>
        <v/>
      </c>
      <c r="AE274" s="113">
        <f>'US DC S6'!BF168</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S6'!BC169</f>
        <v/>
      </c>
      <c r="AE275" s="113">
        <f>'US DC S6'!BF169</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S6'!BC170</f>
        <v/>
      </c>
      <c r="AE276" s="113">
        <f>'US DC S6'!BF170</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S6'!BC171</f>
        <v/>
      </c>
      <c r="AE277" s="113">
        <f>'US DC S6'!BF171</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S6'!BC172</f>
        <v/>
      </c>
      <c r="AE278" s="113">
        <f>'US DC S6'!BF172</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S6'!BC173</f>
        <v/>
      </c>
      <c r="AE279" s="113">
        <f>'US DC S6'!BF173</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S6'!BC174</f>
        <v/>
      </c>
      <c r="AE280" s="113">
        <f>'US DC S6'!BF174</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S6'!BC175</f>
        <v/>
      </c>
      <c r="AE281" s="113">
        <f>'US DC S6'!BF175</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S6'!BC176</f>
        <v/>
      </c>
      <c r="AE282" s="113">
        <f>'US DC S6'!BF176</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S6'!BC177</f>
        <v/>
      </c>
      <c r="AE283" s="113">
        <f>'US DC S6'!BF177</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S6'!BC178</f>
        <v/>
      </c>
      <c r="AE284" s="113">
        <f>'US DC S6'!BF178</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S6'!BC179</f>
        <v/>
      </c>
      <c r="AE285" s="113">
        <f>'US DC S6'!BF179</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S6'!BC180</f>
        <v/>
      </c>
      <c r="AE286" s="113">
        <f>'US DC S6'!BF180</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S6'!BC181</f>
        <v/>
      </c>
      <c r="AE287" s="113">
        <f>'US DC S6'!BF181</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S6'!BC182</f>
        <v/>
      </c>
      <c r="AE288" s="113">
        <f>'US DC S6'!BF182</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S6'!BC183</f>
        <v/>
      </c>
      <c r="AE289" s="113">
        <f>'US DC S6'!BF183</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S6'!BC184</f>
        <v/>
      </c>
      <c r="AE290" s="113">
        <f>'US DC S6'!BF184</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S6'!BC185</f>
        <v/>
      </c>
      <c r="AE291" s="113">
        <f>'US DC S6'!BF185</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S6'!BC186</f>
        <v/>
      </c>
      <c r="AE292" s="113">
        <f>'US DC S6'!BF186</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Fitted'!BC111</f>
        <v/>
      </c>
      <c r="AE379" s="113">
        <f>'US DC Satin Fitted'!BF111</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Fitted'!BC112</f>
        <v/>
      </c>
      <c r="AE380" s="113">
        <f>'US DC Satin Fitted'!BF112</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Fitted'!BC113</f>
        <v/>
      </c>
      <c r="AE381" s="113">
        <f>'US DC Satin Fitted'!BF113</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Fitted'!BC114</f>
        <v/>
      </c>
      <c r="AE382" s="113">
        <f>'US DC Satin Fitted'!BF114</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Fitted'!BC115</f>
        <v/>
      </c>
      <c r="AE383" s="113">
        <f>'US DC Satin Fitted'!BF115</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Fitted'!BC116</f>
        <v/>
      </c>
      <c r="AE384" s="113">
        <f>'US DC Satin Fitted'!BF116</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Fitted'!BC117</f>
        <v/>
      </c>
      <c r="AE385" s="113">
        <f>'US DC Satin Fitted'!BF117</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Fitted'!BC118</f>
        <v/>
      </c>
      <c r="AE386" s="113">
        <f>'US DC Satin Fitted'!BF118</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Fitted'!BC119</f>
        <v/>
      </c>
      <c r="AE387" s="113">
        <f>'US DC Satin Fitted'!BF119</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Fitted'!BC120</f>
        <v/>
      </c>
      <c r="AE388" s="113">
        <f>'US DC Satin Fitted'!BF120</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Fitted'!BC121</f>
        <v/>
      </c>
      <c r="AE389" s="113">
        <f>'US DC Satin Fitted'!BF121</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Fitted'!BC122</f>
        <v/>
      </c>
      <c r="AE390" s="113">
        <f>'US DC Satin Fitted'!BF122</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Fitted'!BC123</f>
        <v/>
      </c>
      <c r="AE391" s="113">
        <f>'US DC Satin Fitted'!BF123</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Fitted'!BC124</f>
        <v/>
      </c>
      <c r="AE392" s="113">
        <f>'US DC Satin Fitted'!BF124</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Pillowcase'!BC60</f>
        <v/>
      </c>
      <c r="AE408" s="113">
        <f>'US DC Silk Pillowcase'!BF60</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Pillowcase'!BC61</f>
        <v/>
      </c>
      <c r="AE409" s="113">
        <f>'US DC Silk Pillowcase'!BF61</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Pillowcase'!BC62</f>
        <v/>
      </c>
      <c r="AE410" s="113">
        <f>'US DC Silk Pillowcase'!BF62</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Pillowcase'!BC63</f>
        <v/>
      </c>
      <c r="AE411" s="113">
        <f>'US DC Silk Pillowcase'!BF63</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Pillowcase'!BC64</f>
        <v/>
      </c>
      <c r="AE412" s="113">
        <f>'US DC Silk Pillowcase'!BF64</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Pillowcase'!BC65</f>
        <v/>
      </c>
      <c r="AE413" s="113">
        <f>'US DC Silk Pillowcase'!BF65</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Pillowcase'!BC66</f>
        <v/>
      </c>
      <c r="AE414" s="113">
        <f>'US DC Silk Pillowcase'!BF66</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Pillowcase'!BC67</f>
        <v/>
      </c>
      <c r="AE415" s="113">
        <f>'US DC Silk Pillowcase'!BF67</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Pillowcase'!BC68</f>
        <v/>
      </c>
      <c r="AE416" s="113">
        <f>'US DC Silk Pillowcase'!BF68</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Pillowcase'!BC69</f>
        <v/>
      </c>
      <c r="AE417" s="113">
        <f>'US DC Silk Pillowcase'!BF69</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Pillowcase'!BC70</f>
        <v/>
      </c>
      <c r="AE418" s="113">
        <f>'US DC Silk Pillowcase'!BF70</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Pillowcase'!BC71</f>
        <v/>
      </c>
      <c r="AE419" s="113">
        <f>'US DC Silk Pillowcase'!BF71</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Pillowcase'!BC72</f>
        <v/>
      </c>
      <c r="AE420" s="113">
        <f>'US DC Silk Pillowcase'!BF72</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Pillowcase'!BC73</f>
        <v/>
      </c>
      <c r="AE421" s="113">
        <f>'US DC Silk Pillowcase'!BF73</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Pillowcase'!BC74</f>
        <v/>
      </c>
      <c r="AE422" s="113">
        <f>'US DC Silk Pillowcase'!BF74</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Pillowcase'!BC75</f>
        <v/>
      </c>
      <c r="AE423" s="113">
        <f>'US DC Silk Pillowcase'!BF75</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Pillowcase'!BC76</f>
        <v/>
      </c>
      <c r="AE424" s="113">
        <f>'US DC Silk Pillowcase'!BF76</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Pillowcase'!BC77</f>
        <v/>
      </c>
      <c r="AE425" s="113">
        <f>'US DC Silk Pillowcase'!BF77</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Pillowcase'!BC78</f>
        <v/>
      </c>
      <c r="AE426" s="113">
        <f>'US DC Silk Pillowcase'!BF78</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Pillowcase'!BC79</f>
        <v/>
      </c>
      <c r="AE427" s="113">
        <f>'US DC Silk Pillowcase'!BF79</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Pillowcase'!BC80</f>
        <v/>
      </c>
      <c r="AE428" s="113">
        <f>'US DC Silk Pillowcase'!BF80</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Pillowcase'!BC81</f>
        <v/>
      </c>
      <c r="AE429" s="113">
        <f>'US DC Silk Pillowcase'!BF81</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Pillowcase'!BC82</f>
        <v/>
      </c>
      <c r="AE430" s="113">
        <f>'US DC Silk Pillowcase'!BF82</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Pillowcase'!BC83</f>
        <v/>
      </c>
      <c r="AE431" s="113">
        <f>'US DC Silk Pillowcase'!BF83</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Pillowcase'!BC84</f>
        <v/>
      </c>
      <c r="AE432" s="113">
        <f>'US DC Silk Pillowcase'!BF84</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Pillowcase'!BC85</f>
        <v/>
      </c>
      <c r="AE433" s="113">
        <f>'US DC Silk Pillowcase'!BF85</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Pillowcase'!BC86</f>
        <v/>
      </c>
      <c r="AE434" s="113">
        <f>'US DC Silk Pillowcase'!BF86</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Pillowcase'!BC87</f>
        <v/>
      </c>
      <c r="AE435" s="113">
        <f>'US DC Silk Pillowcase'!BF87</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Pillowcase'!BC88</f>
        <v/>
      </c>
      <c r="AE436" s="113">
        <f>'US DC Silk Pillowcase'!BF88</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16.99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16.99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16.99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Fitted'!BC106</f>
        <v/>
      </c>
      <c r="AE642" s="113">
        <f>'US SL Cooling Fitted'!BF106</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Fitted'!BC107</f>
        <v/>
      </c>
      <c r="AE643" s="113">
        <f>'US SL Cooling Fitted'!BF107</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Fitted'!BC108</f>
        <v/>
      </c>
      <c r="AE644" s="113">
        <f>'US SL Cooling Fitted'!BF108</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Fitted'!BC109</f>
        <v/>
      </c>
      <c r="AE645" s="113">
        <f>'US SL Cooling Fitted'!BF109</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Fitted'!BC110</f>
        <v/>
      </c>
      <c r="AE646" s="113">
        <f>'US SL Cooling Fitted'!BF110</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Fitted'!BC111</f>
        <v/>
      </c>
      <c r="AE647" s="113">
        <f>'US SL Cooling Fitted'!BF111</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Fitted'!BC112</f>
        <v/>
      </c>
      <c r="AE648" s="113">
        <f>'US SL Cooling Fitted'!BF112</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Fitted'!BC113</f>
        <v/>
      </c>
      <c r="AE649" s="113">
        <f>'US SL Cooling Fitted'!BF113</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Fitted'!BC114</f>
        <v/>
      </c>
      <c r="AE650" s="113">
        <f>'US SL Cooling Fitted'!BF114</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Fitted'!BC115</f>
        <v/>
      </c>
      <c r="AE651" s="113">
        <f>'US SL Cooling Fitted'!BF115</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Fitted'!BC116</f>
        <v/>
      </c>
      <c r="AE652" s="113">
        <f>'US SL Cooling Fitted'!BF116</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Set'!BC60</f>
        <v/>
      </c>
      <c r="AE653" s="113">
        <f>'US SL Quilt Set'!BF60</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Set'!BC61</f>
        <v/>
      </c>
      <c r="AE654" s="113">
        <f>'US SL Quilt Set'!BF61</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Set'!BC62</f>
        <v/>
      </c>
      <c r="AE655" s="113">
        <f>'US SL Quilt Set'!BF62</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Set'!BC63</f>
        <v/>
      </c>
      <c r="AE656" s="113">
        <f>'US SL Quilt Set'!BF63</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Set'!BC64</f>
        <v/>
      </c>
      <c r="AE657" s="113">
        <f>'US SL Quilt Set'!BF64</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Set'!BC65</f>
        <v/>
      </c>
      <c r="AE658" s="113">
        <f>'US SL Quilt Set'!BF65</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Set'!BC66</f>
        <v/>
      </c>
      <c r="AE659" s="113">
        <f>'US SL Quilt Set'!BF66</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Set'!BC67</f>
        <v/>
      </c>
      <c r="AE660" s="113">
        <f>'US SL Quilt Set'!BF67</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Set'!BC68</f>
        <v/>
      </c>
      <c r="AE661" s="113">
        <f>'US SL Quilt Set'!BF68</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Set'!BC69</f>
        <v/>
      </c>
      <c r="AE662" s="113">
        <f>'US SL Quilt Set'!BF69</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Set'!BC70</f>
        <v/>
      </c>
      <c r="AE663" s="113">
        <f>'US SL Quilt Set'!BF70</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Set'!BC71</f>
        <v/>
      </c>
      <c r="AE664" s="113">
        <f>'US SL Quilt Set'!BF71</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Set'!BC72</f>
        <v/>
      </c>
      <c r="AE665" s="113">
        <f>'US SL Quilt Set'!BF72</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Set'!BC73</f>
        <v/>
      </c>
      <c r="AE666" s="113">
        <f>'US SL Quilt Set'!BF73</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Set'!BC74</f>
        <v/>
      </c>
      <c r="AE667" s="113">
        <f>'US SL Quilt Set'!BF74</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Set'!BC75</f>
        <v/>
      </c>
      <c r="AE668" s="113">
        <f>'US SL Quilt Set'!BF75</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Set'!BC76</f>
        <v/>
      </c>
      <c r="AE669" s="113">
        <f>'US SL Quilt Set'!BF76</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Set'!BC77</f>
        <v/>
      </c>
      <c r="AE670" s="113">
        <f>'US SL Quilt Set'!BF77</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Set'!BC78</f>
        <v/>
      </c>
      <c r="AE671" s="113">
        <f>'US SL Quilt Set'!BF78</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3" t="inlineStr">
        <is>
          <t>Gap</t>
        </is>
      </c>
      <c r="B1" s="43" t="inlineStr">
        <is>
          <t>Why it matters</t>
        </is>
      </c>
      <c r="C1" s="43" t="inlineStr">
        <is>
          <t>How to fill it (AGENT_PROMPTS.md)</t>
        </is>
      </c>
    </row>
    <row r="2">
      <c r="A2" s="44" t="inlineStr">
        <is>
          <t>Competitors' BFCM 2025 deal type, dates, prices, discount, BSR change</t>
        </is>
      </c>
      <c r="B2" s="44" t="inlineStr">
        <is>
          <t>Core of the lift forecast and deal-depth benchmark</t>
        </is>
      </c>
      <c r="C2" s="44" t="inlineStr">
        <is>
          <t>Prompt 1 (Keepa history) + Prompt 4 (Keepa deals)</t>
        </is>
      </c>
    </row>
    <row r="3">
      <c r="A3" s="44" t="inlineStr">
        <is>
          <t>Competitor variation detail: every child ASIN with colour, size, price and image</t>
        </is>
      </c>
      <c r="B3" s="44" t="inlineStr">
        <is>
          <t>Command Center and Data Dive hold one tracked child per competitor plus the variation count only</t>
        </is>
      </c>
      <c r="C3" s="44" t="inlineStr">
        <is>
          <t>Prompt 10 (Keepa variations)</t>
        </is>
      </c>
    </row>
    <row r="4">
      <c r="A4" s="44" t="inlineStr">
        <is>
          <t>Competitor images missing: 12 competitor rows</t>
        </is>
      </c>
      <c r="B4" s="44" t="inlineStr">
        <is>
          <t>No verified image URL in Data Dive for these ASINs</t>
        </is>
      </c>
      <c r="C4" s="44" t="inlineStr">
        <is>
          <t>Prompt 10 returns images for every child; list below</t>
        </is>
      </c>
    </row>
    <row r="5">
      <c r="A5" s="44" t="inlineStr">
        <is>
          <t>Whether the strikethrough shows today, and its label</t>
        </is>
      </c>
      <c r="B5" s="44" t="inlineStr">
        <is>
          <t>Command Center holds List Price, not whether Amazon shows it</t>
        </is>
      </c>
      <c r="C5" s="44" t="inlineStr">
        <is>
          <t>Prompt 5 (STR Panel / page check)</t>
        </is>
      </c>
    </row>
    <row r="6">
      <c r="A6" s="44" t="inlineStr">
        <is>
          <t>Canada competitor set</t>
        </is>
      </c>
      <c r="B6" s="44" t="inlineStr">
        <is>
          <t>No Amazon.ca competitor snapshots in the Command Center</t>
        </is>
      </c>
      <c r="C6" s="44" t="inlineStr">
        <is>
          <t>Prompt 9</t>
        </is>
      </c>
    </row>
    <row r="7">
      <c r="A7" s="44" t="inlineStr">
        <is>
          <t>Our BFCM 2025 deals and stock-outs</t>
        </is>
      </c>
      <c r="B7" s="44" t="inlineStr">
        <is>
          <t>To read our 2025 lift fairly</t>
        </is>
      </c>
      <c r="C7" s="44" t="inlineStr">
        <is>
          <t>Prompts 6 and 7</t>
        </is>
      </c>
    </row>
    <row r="8">
      <c r="A8" s="44" t="inlineStr">
        <is>
          <t>Our 2026 deal plan per product</t>
        </is>
      </c>
      <c r="B8" s="44" t="inlineStr">
        <is>
          <t>Undercut flags and the forecast scenario</t>
        </is>
      </c>
      <c r="C8" s="44" t="inlineStr">
        <is>
          <t>Prompt 8</t>
        </is>
      </c>
    </row>
    <row r="9">
      <c r="A9" s="44" t="inlineStr">
        <is>
          <t>Image files for the web dashboard</t>
        </is>
      </c>
      <c r="B9" s="44" t="inlineStr">
        <is>
          <t>The web dashboard cannot load images from Amazon; it needs the files</t>
        </is>
      </c>
      <c r="C9" s="44"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2026-10-15T13:51:57Z</dcterms:created>
  <dcterms:modified xmlns:dcterms="http://purl.org/dc/terms/" xmlns:xsi="http://www.w3.org/2001/XMLSchema-instance" xsi:type="dcterms:W3CDTF">2026-10-15T13:52:04Z</dcterms:modified>
</cp:coreProperties>
</file>