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\Desktop\hockey_analytic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1" i="1" l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6" i="1"/>
  <c r="AA57" i="1"/>
  <c r="AA58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2" i="1"/>
  <c r="AA2" i="1"/>
</calcChain>
</file>

<file path=xl/sharedStrings.xml><?xml version="1.0" encoding="utf-8"?>
<sst xmlns="http://schemas.openxmlformats.org/spreadsheetml/2006/main" count="1382" uniqueCount="676">
  <si>
    <t>#</t>
  </si>
  <si>
    <t>DOB</t>
  </si>
  <si>
    <t>Birth City</t>
  </si>
  <si>
    <t>S/P</t>
  </si>
  <si>
    <t>Ctry</t>
  </si>
  <si>
    <t>HT</t>
  </si>
  <si>
    <t>Wt</t>
  </si>
  <si>
    <t>S</t>
  </si>
  <si>
    <t>Draft</t>
  </si>
  <si>
    <t>Round</t>
  </si>
  <si>
    <t>Overall</t>
  </si>
  <si>
    <t>Rk</t>
  </si>
  <si>
    <t>Age</t>
  </si>
  <si>
    <t>BTN Code</t>
  </si>
  <si>
    <t>First Name</t>
  </si>
  <si>
    <t>Last Name</t>
  </si>
  <si>
    <t>End Team</t>
  </si>
  <si>
    <t>Teams</t>
  </si>
  <si>
    <t>OGP</t>
  </si>
  <si>
    <t>Pos</t>
  </si>
  <si>
    <t>GP</t>
  </si>
  <si>
    <t>G</t>
  </si>
  <si>
    <t>A</t>
  </si>
  <si>
    <t>PTS</t>
  </si>
  <si>
    <t>+/-</t>
  </si>
  <si>
    <t>Sh</t>
  </si>
  <si>
    <t>Miss</t>
  </si>
  <si>
    <t>Blkd</t>
  </si>
  <si>
    <t>Sh%</t>
  </si>
  <si>
    <t>CoSH%</t>
  </si>
  <si>
    <t>Dist</t>
  </si>
  <si>
    <t>Wrist</t>
  </si>
  <si>
    <t>Snap</t>
  </si>
  <si>
    <t>Slap</t>
  </si>
  <si>
    <t>TOI</t>
  </si>
  <si>
    <t>TOI/G</t>
  </si>
  <si>
    <t>Shifts</t>
  </si>
  <si>
    <t>Sh/G</t>
  </si>
  <si>
    <t>TOI/Sh</t>
  </si>
  <si>
    <t>Passes</t>
  </si>
  <si>
    <t>Pa/60</t>
  </si>
  <si>
    <t>IGP</t>
  </si>
  <si>
    <t>IAP</t>
  </si>
  <si>
    <t>IPP</t>
  </si>
  <si>
    <t>FOW</t>
  </si>
  <si>
    <t>FOL</t>
  </si>
  <si>
    <t>FO%</t>
  </si>
  <si>
    <t>%Tm</t>
  </si>
  <si>
    <t>HitA</t>
  </si>
  <si>
    <t>HitF</t>
  </si>
  <si>
    <t>BkS</t>
  </si>
  <si>
    <t>MsS</t>
  </si>
  <si>
    <t>GvA</t>
  </si>
  <si>
    <t>TkA</t>
  </si>
  <si>
    <t>HA/60</t>
  </si>
  <si>
    <t>HF/60</t>
  </si>
  <si>
    <t>B/60</t>
  </si>
  <si>
    <t>M/60</t>
  </si>
  <si>
    <t>G/60</t>
  </si>
  <si>
    <t>T/60</t>
  </si>
  <si>
    <t>PIM</t>
  </si>
  <si>
    <t>Minor</t>
  </si>
  <si>
    <t>Major</t>
  </si>
  <si>
    <t>Misc</t>
  </si>
  <si>
    <t>G Misc</t>
  </si>
  <si>
    <t>Match</t>
  </si>
  <si>
    <t>NetPen</t>
  </si>
  <si>
    <t>SOS</t>
  </si>
  <si>
    <t>SOG</t>
  </si>
  <si>
    <t>SO%</t>
  </si>
  <si>
    <t>SOGDG</t>
  </si>
  <si>
    <t>1G</t>
  </si>
  <si>
    <t>OTGP</t>
  </si>
  <si>
    <t>OTG</t>
  </si>
  <si>
    <t>OTA</t>
  </si>
  <si>
    <t>GWG</t>
  </si>
  <si>
    <t>ENG</t>
  </si>
  <si>
    <t>PSG</t>
  </si>
  <si>
    <t>PST</t>
  </si>
  <si>
    <t>PS%</t>
  </si>
  <si>
    <t>DIA</t>
  </si>
  <si>
    <t>OPS</t>
  </si>
  <si>
    <t>DPS</t>
  </si>
  <si>
    <t>PS</t>
  </si>
  <si>
    <t>PS/G</t>
  </si>
  <si>
    <t>PS/60</t>
  </si>
  <si>
    <t>OGIT</t>
  </si>
  <si>
    <t>DIT</t>
  </si>
  <si>
    <t>RPM</t>
  </si>
  <si>
    <t>OGVT</t>
  </si>
  <si>
    <t>DGVT</t>
  </si>
  <si>
    <t>SGVT</t>
  </si>
  <si>
    <t>GVT</t>
  </si>
  <si>
    <t>GVT/G</t>
  </si>
  <si>
    <t>GVT/60</t>
  </si>
  <si>
    <t>Full</t>
  </si>
  <si>
    <t>LTIR</t>
  </si>
  <si>
    <t>SOIR</t>
  </si>
  <si>
    <t>Ginj</t>
  </si>
  <si>
    <t>Injury</t>
  </si>
  <si>
    <t>Cap Cost</t>
  </si>
  <si>
    <t>Bonuses</t>
  </si>
  <si>
    <t>GVS</t>
  </si>
  <si>
    <t>Sep 01 '95</t>
  </si>
  <si>
    <t>Halifax</t>
  </si>
  <si>
    <t>NS</t>
  </si>
  <si>
    <t>CAN</t>
  </si>
  <si>
    <t>R</t>
  </si>
  <si>
    <t>Y</t>
  </si>
  <si>
    <t>NATHANMACKINNON</t>
  </si>
  <si>
    <t>Nathan</t>
  </si>
  <si>
    <t>MacKinnon</t>
  </si>
  <si>
    <t>COL</t>
  </si>
  <si>
    <t>C</t>
  </si>
  <si>
    <t>Mar 28 '91</t>
  </si>
  <si>
    <t>Frydek-Mistek</t>
  </si>
  <si>
    <t>CZE</t>
  </si>
  <si>
    <t>L</t>
  </si>
  <si>
    <t>ONDREJPALAT</t>
  </si>
  <si>
    <t>Ondrej</t>
  </si>
  <si>
    <t>Palat</t>
  </si>
  <si>
    <t>TBL</t>
  </si>
  <si>
    <t>LW</t>
  </si>
  <si>
    <t>Upper body</t>
  </si>
  <si>
    <t>Jul 29 '90</t>
  </si>
  <si>
    <t>Spokane</t>
  </si>
  <si>
    <t>WA</t>
  </si>
  <si>
    <t>USA</t>
  </si>
  <si>
    <t>TYLERJOHNSON</t>
  </si>
  <si>
    <t>Tyler</t>
  </si>
  <si>
    <t>Johnson</t>
  </si>
  <si>
    <t>Apr 12 '91</t>
  </si>
  <si>
    <t>Livonia</t>
  </si>
  <si>
    <t>MI</t>
  </si>
  <si>
    <t>TOREYKRUG</t>
  </si>
  <si>
    <t>Torey</t>
  </si>
  <si>
    <t>Krug</t>
  </si>
  <si>
    <t>BOS</t>
  </si>
  <si>
    <t>D</t>
  </si>
  <si>
    <t xml:space="preserve"> </t>
  </si>
  <si>
    <t>Jul 17 '92</t>
  </si>
  <si>
    <t>Minneapolis</t>
  </si>
  <si>
    <t>MN</t>
  </si>
  <si>
    <t>NICKBJUGSTAD</t>
  </si>
  <si>
    <t>Nick</t>
  </si>
  <si>
    <t>Bjugstad</t>
  </si>
  <si>
    <t>FLA</t>
  </si>
  <si>
    <t>Concussion</t>
  </si>
  <si>
    <t>Apr 30 '91</t>
  </si>
  <si>
    <t>Boxford</t>
  </si>
  <si>
    <t>MA</t>
  </si>
  <si>
    <t>CHRISKREIDER</t>
  </si>
  <si>
    <t>Chris</t>
  </si>
  <si>
    <t>Kreider</t>
  </si>
  <si>
    <t>NYR</t>
  </si>
  <si>
    <t>LW/C</t>
  </si>
  <si>
    <t>Hand</t>
  </si>
  <si>
    <t>Oct 01 '90</t>
  </si>
  <si>
    <t>Montreal</t>
  </si>
  <si>
    <t>QC</t>
  </si>
  <si>
    <t>ALEXCHIASSON</t>
  </si>
  <si>
    <t>Alex</t>
  </si>
  <si>
    <t>Chiasson</t>
  </si>
  <si>
    <t>DAL</t>
  </si>
  <si>
    <t>RW</t>
  </si>
  <si>
    <t>Flu</t>
  </si>
  <si>
    <t>Oct 12 '94</t>
  </si>
  <si>
    <t>Brampton</t>
  </si>
  <si>
    <t>ON</t>
  </si>
  <si>
    <t>SEANMONAHAN</t>
  </si>
  <si>
    <t>Sean</t>
  </si>
  <si>
    <t>Monahan</t>
  </si>
  <si>
    <t>CGY</t>
  </si>
  <si>
    <t>Foot</t>
  </si>
  <si>
    <t>Mar 04 '95</t>
  </si>
  <si>
    <t>Chelyabinsk</t>
  </si>
  <si>
    <t>RUS</t>
  </si>
  <si>
    <t>VALERINICHUSHKIN</t>
  </si>
  <si>
    <t>Valeri</t>
  </si>
  <si>
    <t>Nichushkin</t>
  </si>
  <si>
    <t>RW/LW</t>
  </si>
  <si>
    <t>Mar 15 '93</t>
  </si>
  <si>
    <t>Kitchener</t>
  </si>
  <si>
    <t>MARKSCHEIFELE</t>
  </si>
  <si>
    <t>Mark</t>
  </si>
  <si>
    <t>Scheifele</t>
  </si>
  <si>
    <t>WPG</t>
  </si>
  <si>
    <t>Knee</t>
  </si>
  <si>
    <t>Jan 20 '94</t>
  </si>
  <si>
    <t>Helsingborg</t>
  </si>
  <si>
    <t>SWE</t>
  </si>
  <si>
    <t>HAMPUSLINDHOLM</t>
  </si>
  <si>
    <t>Hampus</t>
  </si>
  <si>
    <t>Lindholm</t>
  </si>
  <si>
    <t>ANA</t>
  </si>
  <si>
    <t>Jun 15 '93</t>
  </si>
  <si>
    <t>Dorchester</t>
  </si>
  <si>
    <t>BOONEJENNER</t>
  </si>
  <si>
    <t>Boone</t>
  </si>
  <si>
    <t>Jenner</t>
  </si>
  <si>
    <t>CBJ</t>
  </si>
  <si>
    <t>Leg</t>
  </si>
  <si>
    <t>Apr 24 '92</t>
  </si>
  <si>
    <t>Scarborough</t>
  </si>
  <si>
    <t>TYLERTOFFOLI</t>
  </si>
  <si>
    <t>Toffoli</t>
  </si>
  <si>
    <t>LAK</t>
  </si>
  <si>
    <t>C/RW</t>
  </si>
  <si>
    <t>Apr 23 '88</t>
  </si>
  <si>
    <t>St. Louis</t>
  </si>
  <si>
    <t>MO</t>
  </si>
  <si>
    <t>PATRICKMAROON</t>
  </si>
  <si>
    <t>Patrick</t>
  </si>
  <si>
    <t>Maroon</t>
  </si>
  <si>
    <t>Feb 26 '94</t>
  </si>
  <si>
    <t>Rochester</t>
  </si>
  <si>
    <t>JACOBTROUBA</t>
  </si>
  <si>
    <t>Jacob</t>
  </si>
  <si>
    <t>Trouba</t>
  </si>
  <si>
    <t>Aug 22 '94</t>
  </si>
  <si>
    <t>Jyväskylä</t>
  </si>
  <si>
    <t>FIN</t>
  </si>
  <si>
    <t>OLLIMAATTA</t>
  </si>
  <si>
    <t>Olli</t>
  </si>
  <si>
    <t>Maatta</t>
  </si>
  <si>
    <t>PIT</t>
  </si>
  <si>
    <t>May 08 '91</t>
  </si>
  <si>
    <t>Vanier</t>
  </si>
  <si>
    <t>ERICGELINAS</t>
  </si>
  <si>
    <t>Eric</t>
  </si>
  <si>
    <t>Gelinas</t>
  </si>
  <si>
    <t>NJD</t>
  </si>
  <si>
    <t>Jan 30 '90</t>
  </si>
  <si>
    <t>Calgary</t>
  </si>
  <si>
    <t>AB</t>
  </si>
  <si>
    <t>JOECOLBORNE</t>
  </si>
  <si>
    <t>Joe</t>
  </si>
  <si>
    <t>Colborne</t>
  </si>
  <si>
    <t>C/LW</t>
  </si>
  <si>
    <t>Illness</t>
  </si>
  <si>
    <t>Mar 09 '94</t>
  </si>
  <si>
    <t>Vancouver</t>
  </si>
  <si>
    <t>BC</t>
  </si>
  <si>
    <t>MORGANRIELLY</t>
  </si>
  <si>
    <t>Morgan</t>
  </si>
  <si>
    <t>Rielly</t>
  </si>
  <si>
    <t>TOR</t>
  </si>
  <si>
    <t>Oct 15 '91</t>
  </si>
  <si>
    <t>Warroad</t>
  </si>
  <si>
    <t>BROCKNELSON</t>
  </si>
  <si>
    <t>Brock</t>
  </si>
  <si>
    <t>Nelson</t>
  </si>
  <si>
    <t>NYI</t>
  </si>
  <si>
    <t>Nov 12 '93</t>
  </si>
  <si>
    <t>Praha</t>
  </si>
  <si>
    <t>TOMASHERTL</t>
  </si>
  <si>
    <t>Tomas</t>
  </si>
  <si>
    <t>Hertl</t>
  </si>
  <si>
    <t>SJS</t>
  </si>
  <si>
    <t>Apr 10 '91</t>
  </si>
  <si>
    <t>Toronto</t>
  </si>
  <si>
    <t>BRANDONPIRRI</t>
  </si>
  <si>
    <t>Brandon</t>
  </si>
  <si>
    <t>Pirri</t>
  </si>
  <si>
    <t>CHI</t>
  </si>
  <si>
    <t>Oct 03 '94</t>
  </si>
  <si>
    <t>Arlington</t>
  </si>
  <si>
    <t>TX</t>
  </si>
  <si>
    <t>SETHJONES</t>
  </si>
  <si>
    <t>Seth</t>
  </si>
  <si>
    <t>Jones</t>
  </si>
  <si>
    <t>NSH</t>
  </si>
  <si>
    <t>Nov 05 '92</t>
  </si>
  <si>
    <t>Long Beach</t>
  </si>
  <si>
    <t>CA</t>
  </si>
  <si>
    <t>MATTHEWNIETO</t>
  </si>
  <si>
    <t>Matt</t>
  </si>
  <si>
    <t>Nieto</t>
  </si>
  <si>
    <t>Hand, Lower body</t>
  </si>
  <si>
    <t>Dec 07 '91</t>
  </si>
  <si>
    <t>St. Catharines</t>
  </si>
  <si>
    <t>RILEYSHEAHAN</t>
  </si>
  <si>
    <t>Riley</t>
  </si>
  <si>
    <t>Sheahan</t>
  </si>
  <si>
    <t>DET</t>
  </si>
  <si>
    <t>Sep 02 '95</t>
  </si>
  <si>
    <t>Tampere</t>
  </si>
  <si>
    <t>ALEKSANDERBARKOV</t>
  </si>
  <si>
    <t>Aleksander</t>
  </si>
  <si>
    <t>Barkov</t>
  </si>
  <si>
    <t>Knee, Illness</t>
  </si>
  <si>
    <t>Mar 07 '90</t>
  </si>
  <si>
    <t>Detroit</t>
  </si>
  <si>
    <t>DANNYDEKEYSER</t>
  </si>
  <si>
    <t>Danny</t>
  </si>
  <si>
    <t>DeKeyser</t>
  </si>
  <si>
    <t>Shoulder, Back</t>
  </si>
  <si>
    <t>Dec 01 '88</t>
  </si>
  <si>
    <t>Villach</t>
  </si>
  <si>
    <t>AUT</t>
  </si>
  <si>
    <t>MICHAELRAFFL</t>
  </si>
  <si>
    <t>Michael</t>
  </si>
  <si>
    <t>Raffl</t>
  </si>
  <si>
    <t>PHI</t>
  </si>
  <si>
    <t>Flu, Lower body</t>
  </si>
  <si>
    <t>Jan 05 '94</t>
  </si>
  <si>
    <t>Riga</t>
  </si>
  <si>
    <t>LVA</t>
  </si>
  <si>
    <t>ZEMGUSGIRGENSONS</t>
  </si>
  <si>
    <t>Zemgus</t>
  </si>
  <si>
    <t>Girgensons</t>
  </si>
  <si>
    <t>BUF</t>
  </si>
  <si>
    <t>Facial, Finger</t>
  </si>
  <si>
    <t>Jun 05 '90</t>
  </si>
  <si>
    <t>Prague</t>
  </si>
  <si>
    <t>RADKOGUDAS</t>
  </si>
  <si>
    <t>Radko</t>
  </si>
  <si>
    <t>Gudas</t>
  </si>
  <si>
    <t>Nov 06 '87</t>
  </si>
  <si>
    <t>Bonnyville</t>
  </si>
  <si>
    <t>JUSTINFONTAINE</t>
  </si>
  <si>
    <t>Justin</t>
  </si>
  <si>
    <t>Fontaine</t>
  </si>
  <si>
    <t>MIN</t>
  </si>
  <si>
    <t>Upper body, Knee</t>
  </si>
  <si>
    <t>Dec 02 '94</t>
  </si>
  <si>
    <t>Boden</t>
  </si>
  <si>
    <t>ELIASLINDHOLM</t>
  </si>
  <si>
    <t>Elias</t>
  </si>
  <si>
    <t>CAR</t>
  </si>
  <si>
    <t>Upper body, Flu, Lower body</t>
  </si>
  <si>
    <t>Jun 03 '91</t>
  </si>
  <si>
    <t>SAMIVATANEN</t>
  </si>
  <si>
    <t>Sami</t>
  </si>
  <si>
    <t>Vatanen</t>
  </si>
  <si>
    <t>Mar 31 '93</t>
  </si>
  <si>
    <t>Aurora</t>
  </si>
  <si>
    <t>RYANMURPHY</t>
  </si>
  <si>
    <t>Ryan</t>
  </si>
  <si>
    <t>Murphy</t>
  </si>
  <si>
    <t>Sep 27 '93</t>
  </si>
  <si>
    <t>Regina</t>
  </si>
  <si>
    <t>SK</t>
  </si>
  <si>
    <t>RYANMURRAY</t>
  </si>
  <si>
    <t>Murray</t>
  </si>
  <si>
    <t>Lower body</t>
  </si>
  <si>
    <t>Jul 02 '90</t>
  </si>
  <si>
    <t>Burnsville</t>
  </si>
  <si>
    <t>J.T.BROWN</t>
  </si>
  <si>
    <t>J.T.</t>
  </si>
  <si>
    <t>Brown</t>
  </si>
  <si>
    <t>Jun 17 '93</t>
  </si>
  <si>
    <t>Moscow</t>
  </si>
  <si>
    <t>NIKITAKUCHEROV</t>
  </si>
  <si>
    <t>Nikita</t>
  </si>
  <si>
    <t>Kucherov</t>
  </si>
  <si>
    <t>Jul 11 '93</t>
  </si>
  <si>
    <t>Mississauga</t>
  </si>
  <si>
    <t>RYANSTROME</t>
  </si>
  <si>
    <t>Strome</t>
  </si>
  <si>
    <t>Aug 12 '88</t>
  </si>
  <si>
    <t>Milford</t>
  </si>
  <si>
    <t>CT</t>
  </si>
  <si>
    <t>MARKARCOBELLO</t>
  </si>
  <si>
    <t>Arcobello</t>
  </si>
  <si>
    <t>EDM</t>
  </si>
  <si>
    <t>Ribs</t>
  </si>
  <si>
    <t>Feb 26 '88</t>
  </si>
  <si>
    <t>Braintree</t>
  </si>
  <si>
    <t>BRIANGIBBONS</t>
  </si>
  <si>
    <t>Brian</t>
  </si>
  <si>
    <t>Gibbons</t>
  </si>
  <si>
    <t>May 09 '91</t>
  </si>
  <si>
    <t>Carp</t>
  </si>
  <si>
    <t>CALVINDEHAAN</t>
  </si>
  <si>
    <t>Calvin</t>
  </si>
  <si>
    <t>de Haan</t>
  </si>
  <si>
    <t>May 09 '90</t>
  </si>
  <si>
    <t>Edmond</t>
  </si>
  <si>
    <t>OK</t>
  </si>
  <si>
    <t>MATTDONOVAN</t>
  </si>
  <si>
    <t>Donovan</t>
  </si>
  <si>
    <t>Jul 20 '89</t>
  </si>
  <si>
    <t>St. Albert</t>
  </si>
  <si>
    <t>RYANSTANTON</t>
  </si>
  <si>
    <t>Stanton</t>
  </si>
  <si>
    <t>VAN</t>
  </si>
  <si>
    <t>Ankle, Groin</t>
  </si>
  <si>
    <t>Dec 28 '92</t>
  </si>
  <si>
    <t>Kosice</t>
  </si>
  <si>
    <t>SVK</t>
  </si>
  <si>
    <t>TOMASJURCO</t>
  </si>
  <si>
    <t>Jurco</t>
  </si>
  <si>
    <t>Mar 23 '91</t>
  </si>
  <si>
    <t>Pori</t>
  </si>
  <si>
    <t>ERIKHAULA</t>
  </si>
  <si>
    <t>Erik</t>
  </si>
  <si>
    <t>Haula</t>
  </si>
  <si>
    <t>Jul 03 '90</t>
  </si>
  <si>
    <t>Edina</t>
  </si>
  <si>
    <t>ANDERSLEE</t>
  </si>
  <si>
    <t>Anders</t>
  </si>
  <si>
    <t>Lee</t>
  </si>
  <si>
    <t>May 31 '92</t>
  </si>
  <si>
    <t>Shawinigan</t>
  </si>
  <si>
    <t>MICHAELBOURNIVAL</t>
  </si>
  <si>
    <t>Bournival</t>
  </si>
  <si>
    <t>MTL</t>
  </si>
  <si>
    <t>Feb 07 '91</t>
  </si>
  <si>
    <t>Martin</t>
  </si>
  <si>
    <t>RICHARDPANIK</t>
  </si>
  <si>
    <t>Richard</t>
  </si>
  <si>
    <t>Panik</t>
  </si>
  <si>
    <t>RW/C</t>
  </si>
  <si>
    <t>Apr 20 '89</t>
  </si>
  <si>
    <t>Red Deer</t>
  </si>
  <si>
    <t>COLTONSCEVIOUR</t>
  </si>
  <si>
    <t>Colton</t>
  </si>
  <si>
    <t>Sceviour</t>
  </si>
  <si>
    <t>Jan 14 '91</t>
  </si>
  <si>
    <t>PETERHOLLAND</t>
  </si>
  <si>
    <t>Peter</t>
  </si>
  <si>
    <t>Holland</t>
  </si>
  <si>
    <t>Lower body, Foot</t>
  </si>
  <si>
    <t>Apr 16 '91</t>
  </si>
  <si>
    <t>Auburn</t>
  </si>
  <si>
    <t>NY</t>
  </si>
  <si>
    <t>JEREMYMORIN</t>
  </si>
  <si>
    <t>Jeremy</t>
  </si>
  <si>
    <t>Morin</t>
  </si>
  <si>
    <t>RW/LW/C</t>
  </si>
  <si>
    <t>Oct 05 '92</t>
  </si>
  <si>
    <t>Bern</t>
  </si>
  <si>
    <t>CHE</t>
  </si>
  <si>
    <t>SVENBAERTSCHI</t>
  </si>
  <si>
    <t>Sven</t>
  </si>
  <si>
    <t>Baertschi</t>
  </si>
  <si>
    <t>Feb 03 '92</t>
  </si>
  <si>
    <t>Oklahoma City</t>
  </si>
  <si>
    <t>JONMERRILL</t>
  </si>
  <si>
    <t>Jon</t>
  </si>
  <si>
    <t>Merrill</t>
  </si>
  <si>
    <t>Facial, Lower body</t>
  </si>
  <si>
    <t>Jan 30 '92</t>
  </si>
  <si>
    <t>Ottawa</t>
  </si>
  <si>
    <t>RYANSPOONER</t>
  </si>
  <si>
    <t>Spooner</t>
  </si>
  <si>
    <t>Mar 23 '90</t>
  </si>
  <si>
    <t>MARKBARBERIO</t>
  </si>
  <si>
    <t>Barberio</t>
  </si>
  <si>
    <t>Mar 29 '94</t>
  </si>
  <si>
    <t>TOMWILSON</t>
  </si>
  <si>
    <t>Tom</t>
  </si>
  <si>
    <t>Wilson</t>
  </si>
  <si>
    <t>WSH</t>
  </si>
  <si>
    <t>Feb 01 '90</t>
  </si>
  <si>
    <t>Fort Lauderdale</t>
  </si>
  <si>
    <t>FL</t>
  </si>
  <si>
    <t>JAYSONMEGNA</t>
  </si>
  <si>
    <t>Jayson</t>
  </si>
  <si>
    <t>Megna</t>
  </si>
  <si>
    <t>Dec 21 '93</t>
  </si>
  <si>
    <t>CODYCECI</t>
  </si>
  <si>
    <t>Cody</t>
  </si>
  <si>
    <t>Ceci</t>
  </si>
  <si>
    <t>OTT</t>
  </si>
  <si>
    <t>May 19 '92</t>
  </si>
  <si>
    <t>EVGENYKUZNETSOV</t>
  </si>
  <si>
    <t>Evgeny</t>
  </si>
  <si>
    <t>Kuznetsov</t>
  </si>
  <si>
    <t>Sep 25 '91</t>
  </si>
  <si>
    <t>Gävle</t>
  </si>
  <si>
    <t>CALLEJARNKROK</t>
  </si>
  <si>
    <t>Calle</t>
  </si>
  <si>
    <t>Jarnkrok</t>
  </si>
  <si>
    <t>May 24 '90</t>
  </si>
  <si>
    <t>Borlange</t>
  </si>
  <si>
    <t>MATTIASEKHOLM</t>
  </si>
  <si>
    <t>Mattias</t>
  </si>
  <si>
    <t>Ekholm</t>
  </si>
  <si>
    <t>Pittsburgh</t>
  </si>
  <si>
    <t>PA</t>
  </si>
  <si>
    <t>VINCENTTROCHECK</t>
  </si>
  <si>
    <t>Vincent</t>
  </si>
  <si>
    <t>Trocheck</t>
  </si>
  <si>
    <t>May 13 '92</t>
  </si>
  <si>
    <t>Winnipeg</t>
  </si>
  <si>
    <t>MB</t>
  </si>
  <si>
    <t>MARKSTONE</t>
  </si>
  <si>
    <t>Stone</t>
  </si>
  <si>
    <t>Jun 25 '88</t>
  </si>
  <si>
    <t>Windsor</t>
  </si>
  <si>
    <t>BRETTBELLEMORE</t>
  </si>
  <si>
    <t>Brett</t>
  </si>
  <si>
    <t>Bellemore</t>
  </si>
  <si>
    <t>Nov 29 '90</t>
  </si>
  <si>
    <t>Plzen</t>
  </si>
  <si>
    <t>ANDREJSUSTR</t>
  </si>
  <si>
    <t>Andrej</t>
  </si>
  <si>
    <t>Sustr</t>
  </si>
  <si>
    <t>Mar 26 '93</t>
  </si>
  <si>
    <t>Boston</t>
  </si>
  <si>
    <t>CONNORMURPHY</t>
  </si>
  <si>
    <t>Connor</t>
  </si>
  <si>
    <t>PHX</t>
  </si>
  <si>
    <t>Feb 23 '90</t>
  </si>
  <si>
    <t>Edmonton</t>
  </si>
  <si>
    <t>KEVINCONNAUTON</t>
  </si>
  <si>
    <t>Kevin</t>
  </si>
  <si>
    <t>Connauton</t>
  </si>
  <si>
    <t>Aug 10 '92</t>
  </si>
  <si>
    <t>TANNERPEARSON</t>
  </si>
  <si>
    <t>Tanner</t>
  </si>
  <si>
    <t>Pearson</t>
  </si>
  <si>
    <t>Jun 21 '90</t>
  </si>
  <si>
    <t>ERICODELL</t>
  </si>
  <si>
    <t>O'Dell</t>
  </si>
  <si>
    <t>Sep 08 '93</t>
  </si>
  <si>
    <t>Lansing</t>
  </si>
  <si>
    <t>REIDBOUCHER</t>
  </si>
  <si>
    <t>Reid</t>
  </si>
  <si>
    <t>Boucher</t>
  </si>
  <si>
    <t>Apr 28 '89</t>
  </si>
  <si>
    <t>Grand Rapids</t>
  </si>
  <si>
    <t>LUKEGLENDENING</t>
  </si>
  <si>
    <t>Luke</t>
  </si>
  <si>
    <t>Glendening</t>
  </si>
  <si>
    <t>Jan 11 '92</t>
  </si>
  <si>
    <t>Sherwood Park</t>
  </si>
  <si>
    <t>MARKPYSYK</t>
  </si>
  <si>
    <t>Pysyk</t>
  </si>
  <si>
    <t>Soreness</t>
  </si>
  <si>
    <t>Jan 21 '92</t>
  </si>
  <si>
    <t>QUINTONHOWDEN</t>
  </si>
  <si>
    <t>Quinton</t>
  </si>
  <si>
    <t>Howden</t>
  </si>
  <si>
    <t>Mar 06 '93</t>
  </si>
  <si>
    <t>Herning</t>
  </si>
  <si>
    <t>DNK</t>
  </si>
  <si>
    <t>NICKLASJENSEN</t>
  </si>
  <si>
    <t>Nicklas</t>
  </si>
  <si>
    <t>Jensen</t>
  </si>
  <si>
    <t>Nov 24 '89</t>
  </si>
  <si>
    <t>MIKEHOFFMAN</t>
  </si>
  <si>
    <t>Mike</t>
  </si>
  <si>
    <t>Hoffman</t>
  </si>
  <si>
    <t>Jul 16 '91</t>
  </si>
  <si>
    <t>St. Cloud</t>
  </si>
  <si>
    <t>NATESCHMIDT</t>
  </si>
  <si>
    <t>Nate</t>
  </si>
  <si>
    <t>Schmidt</t>
  </si>
  <si>
    <t>Nov 15 '87</t>
  </si>
  <si>
    <t>Los Angeles</t>
  </si>
  <si>
    <t>KEVANMILLER</t>
  </si>
  <si>
    <t>Kevan</t>
  </si>
  <si>
    <t>Miller</t>
  </si>
  <si>
    <t>Feb 17 '88</t>
  </si>
  <si>
    <t>VICTORBARTLEY</t>
  </si>
  <si>
    <t>Victor</t>
  </si>
  <si>
    <t>Bartley</t>
  </si>
  <si>
    <t>Apr 13 '94</t>
  </si>
  <si>
    <t>Orland Park</t>
  </si>
  <si>
    <t>IL</t>
  </si>
  <si>
    <t>CONNORCARRICK</t>
  </si>
  <si>
    <t>Carrick</t>
  </si>
  <si>
    <t>Feb 18 '92</t>
  </si>
  <si>
    <t>MARTINMARINCIN</t>
  </si>
  <si>
    <t>Marincin</t>
  </si>
  <si>
    <t>Fergus</t>
  </si>
  <si>
    <t>TYEMCGINN</t>
  </si>
  <si>
    <t>Tye</t>
  </si>
  <si>
    <t>McGinn</t>
  </si>
  <si>
    <t>Apr 18 '89</t>
  </si>
  <si>
    <t>North York</t>
  </si>
  <si>
    <t>ANTHONYPELUSO</t>
  </si>
  <si>
    <t>Anthony</t>
  </si>
  <si>
    <t>Peluso</t>
  </si>
  <si>
    <t>Aug 13 '94</t>
  </si>
  <si>
    <t>Ostervala</t>
  </si>
  <si>
    <t>FILIPFORSBERG</t>
  </si>
  <si>
    <t>Filip</t>
  </si>
  <si>
    <t>Forsberg</t>
  </si>
  <si>
    <t>Lower body, Upper body</t>
  </si>
  <si>
    <t>Jul 17 '91</t>
  </si>
  <si>
    <t>Wakaw</t>
  </si>
  <si>
    <t>LINDENVEY</t>
  </si>
  <si>
    <t>Linden</t>
  </si>
  <si>
    <t>Vey</t>
  </si>
  <si>
    <t>Jul 25 '89</t>
  </si>
  <si>
    <t>LUKEGAZDIC</t>
  </si>
  <si>
    <t>Gazdic</t>
  </si>
  <si>
    <t>Shoulder, Groin</t>
  </si>
  <si>
    <t>Oct 27 '94</t>
  </si>
  <si>
    <t>Turku</t>
  </si>
  <si>
    <t>RASMUSRISTOLAINEN</t>
  </si>
  <si>
    <t>Rasmus</t>
  </si>
  <si>
    <t>Ristolainen</t>
  </si>
  <si>
    <t>May 25 '91</t>
  </si>
  <si>
    <t>MICHAELLATTA</t>
  </si>
  <si>
    <t>Latta</t>
  </si>
  <si>
    <t>Nov 05 '93</t>
  </si>
  <si>
    <t>North Vancouver</t>
  </si>
  <si>
    <t>COLTONSISSONS</t>
  </si>
  <si>
    <t>Sissons</t>
  </si>
  <si>
    <t>May 05 '93</t>
  </si>
  <si>
    <t>Sundbyberg</t>
  </si>
  <si>
    <t>RICKARDRAKELL</t>
  </si>
  <si>
    <t>Rickard</t>
  </si>
  <si>
    <t>Rakell</t>
  </si>
  <si>
    <t>Mar 12 '93</t>
  </si>
  <si>
    <t>Burnaby</t>
  </si>
  <si>
    <t>TYLERWOTHERSPOON</t>
  </si>
  <si>
    <t>Wotherspoon</t>
  </si>
  <si>
    <t>Jul 25 '92</t>
  </si>
  <si>
    <t>Lau</t>
  </si>
  <si>
    <t>JOHANLARSSON</t>
  </si>
  <si>
    <t>Johan</t>
  </si>
  <si>
    <t>Larsson</t>
  </si>
  <si>
    <t>May 14 '91</t>
  </si>
  <si>
    <t>Burlington</t>
  </si>
  <si>
    <t>JORDANSZWARZ</t>
  </si>
  <si>
    <t>Jordan</t>
  </si>
  <si>
    <t>Szwarz</t>
  </si>
  <si>
    <t>Apr 16 '93</t>
  </si>
  <si>
    <t>Oulu</t>
  </si>
  <si>
    <t>MARKUSGRANLUND</t>
  </si>
  <si>
    <t>Markus</t>
  </si>
  <si>
    <t>Granlund</t>
  </si>
  <si>
    <t>Shoulder</t>
  </si>
  <si>
    <t>May 16 '94</t>
  </si>
  <si>
    <t>Khabarovsk</t>
  </si>
  <si>
    <t>MIKHAILGRIGORENKO</t>
  </si>
  <si>
    <t>Mikhail</t>
  </si>
  <si>
    <t>Grigorenko</t>
  </si>
  <si>
    <t>Jul 20 '93</t>
  </si>
  <si>
    <t>Karlstad</t>
  </si>
  <si>
    <t>OSCARKLEFBOM</t>
  </si>
  <si>
    <t>Oscar</t>
  </si>
  <si>
    <t>Klefbom</t>
  </si>
  <si>
    <t>Jul 26 '88</t>
  </si>
  <si>
    <t>Traverse City</t>
  </si>
  <si>
    <t>ZACHREDMOND</t>
  </si>
  <si>
    <t>Zach</t>
  </si>
  <si>
    <t>Redmond</t>
  </si>
  <si>
    <t>Feb 19 '91</t>
  </si>
  <si>
    <t>Binghamton</t>
  </si>
  <si>
    <t>JERRYD'AMIGO</t>
  </si>
  <si>
    <t>Jerry</t>
  </si>
  <si>
    <t>D'Amigo</t>
  </si>
  <si>
    <t>Feb 25 '92</t>
  </si>
  <si>
    <t>Stockholm</t>
  </si>
  <si>
    <t>JOAKIMNORDSTROM</t>
  </si>
  <si>
    <t>Joakim</t>
  </si>
  <si>
    <t>Nordstrom</t>
  </si>
  <si>
    <t>May 18 '90</t>
  </si>
  <si>
    <t>Roseau</t>
  </si>
  <si>
    <t>AARONNESS</t>
  </si>
  <si>
    <t>Aaron</t>
  </si>
  <si>
    <t>Ness</t>
  </si>
  <si>
    <t>Feb 09 '90</t>
  </si>
  <si>
    <t>Newmarket</t>
  </si>
  <si>
    <t>DARRENARCHIBALD</t>
  </si>
  <si>
    <t>Darren</t>
  </si>
  <si>
    <t>Archibald</t>
  </si>
  <si>
    <t>PPG</t>
  </si>
  <si>
    <t>Last Year League</t>
  </si>
  <si>
    <t>Last Year PPG</t>
  </si>
  <si>
    <t>QMJHL</t>
  </si>
  <si>
    <t>AHL</t>
  </si>
  <si>
    <t>NCAA</t>
  </si>
  <si>
    <t>OHL</t>
  </si>
  <si>
    <t>KHL</t>
  </si>
  <si>
    <t>WHL</t>
  </si>
  <si>
    <t>SweHL</t>
  </si>
  <si>
    <t>Czech</t>
  </si>
  <si>
    <t>SM-Liiga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</si>
</sst>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$-409]#,##0;\-[$$-409]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8"/>
      <color indexed="8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11">
    <xf numFmtId="0" fontId="0" fillId="0" borderId="0" xfId="0"/>
    <xf numFmtId="0" fontId="3" fillId="0" borderId="0" xfId="1" applyFont="1" applyFill="1" applyAlignment="1">
      <alignment horizontal="center" textRotation="66"/>
    </xf>
    <xf numFmtId="1" fontId="3" fillId="0" borderId="0" xfId="1" applyNumberFormat="1" applyFont="1" applyFill="1" applyAlignment="1">
      <alignment horizontal="center" textRotation="66"/>
    </xf>
    <xf numFmtId="0" fontId="4" fillId="0" borderId="0" xfId="1" applyFont="1" applyAlignment="1">
      <alignment horizontal="center" textRotation="66"/>
    </xf>
    <xf numFmtId="0" fontId="5" fillId="0" borderId="0" xfId="1" applyFont="1" applyAlignment="1">
      <alignment horizontal="center" textRotation="66"/>
    </xf>
    <xf numFmtId="0" fontId="6" fillId="0" borderId="0" xfId="1" applyFont="1" applyFill="1" applyAlignment="1">
      <alignment horizontal="center" textRotation="66"/>
    </xf>
    <xf numFmtId="164" fontId="3" fillId="0" borderId="0" xfId="1" applyNumberFormat="1" applyFont="1" applyFill="1" applyAlignment="1">
      <alignment horizontal="center" textRotation="66"/>
    </xf>
    <xf numFmtId="164" fontId="4" fillId="0" borderId="0" xfId="1" applyNumberFormat="1" applyFont="1" applyAlignment="1">
      <alignment horizontal="center" textRotation="66"/>
    </xf>
    <xf numFmtId="2" fontId="4" fillId="0" borderId="0" xfId="1" applyNumberFormat="1" applyFont="1" applyAlignment="1">
      <alignment horizontal="center" textRotation="66"/>
    </xf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1" fillId="0" borderId="0" xfId="1"/>
    <xf numFmtId="0" fontId="2" fillId="0" borderId="0" xfId="1" applyFont="1"/>
    <xf numFmtId="164" fontId="1" fillId="0" borderId="0" xfId="1" applyNumberFormat="1"/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  <xf numFmtId="0" fontId="7" fillId="0" borderId="0" xfId="1" applyFont="1" applyFill="1" applyAlignment="1">
      <alignment horizontal="left"/>
    </xf>
    <xf numFmtId="166" fontId="1" fillId="0" borderId="0" xfId="1" applyNumberForma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wrapText="1"/>
    </xf>
    <xf numFmtId="165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2" fontId="7" fillId="0" borderId="0" xfId="1" applyNumberFormat="1" applyFont="1" applyFill="1" applyAlignment="1">
      <alignment horizontal="right"/>
    </xf>
    <xf numFmtId="165" fontId="1" fillId="0" borderId="0" xfId="1" applyNumberFormat="1"/>
    <xf numFmtId="9" fontId="7" fillId="0" borderId="0" xfId="1" applyNumberFormat="1" applyFont="1" applyFill="1" applyAlignment="1">
      <alignment horizontal="right"/>
    </xf>
    <xf numFmtId="0" fontId="1" fillId="0" borderId="0" xfId="1" applyBorder="1"/>
    <xf numFmtId="2" fontId="7" fillId="0" borderId="0" xfId="1" applyNumberFormat="1" applyFont="1" applyFill="1"/>
    <xf numFmtId="2" fontId="1" fillId="0" borderId="0" xfId="1" applyNumberFormat="1"/>
    <xf numFmtId="164" fontId="2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1"/>
  <sheetViews>
    <sheetView tabSelected="1" topLeftCell="O80" workbookViewId="0">
      <selection activeCell="AA96" sqref="AA96"/>
    </sheetView>
  </sheetViews>
  <sheetFormatPr defaultRowHeight="15" x14ac:dyDescent="0.25"/>
  <sheetData>
    <row r="1" spans="1:106" ht="74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1" t="s">
        <v>17</v>
      </c>
      <c r="S1" s="1" t="s">
        <v>18</v>
      </c>
      <c r="T1" s="5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664</v>
      </c>
      <c r="Z1" s="1" t="s">
        <v>665</v>
      </c>
      <c r="AA1" s="1" t="s">
        <v>666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6" t="s">
        <v>30</v>
      </c>
      <c r="AI1" s="2" t="s">
        <v>31</v>
      </c>
      <c r="AJ1" s="2" t="s">
        <v>32</v>
      </c>
      <c r="AK1" s="2" t="s">
        <v>33</v>
      </c>
      <c r="AL1" s="6" t="s">
        <v>34</v>
      </c>
      <c r="AM1" s="6" t="s">
        <v>35</v>
      </c>
      <c r="AN1" s="1" t="s">
        <v>36</v>
      </c>
      <c r="AO1" s="1" t="s">
        <v>37</v>
      </c>
      <c r="AP1" s="1" t="s">
        <v>38</v>
      </c>
      <c r="AQ1" s="2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6" t="s">
        <v>47</v>
      </c>
      <c r="AZ1" s="6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7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6" t="s">
        <v>81</v>
      </c>
      <c r="CH1" s="6" t="s">
        <v>82</v>
      </c>
      <c r="CI1" s="6" t="s">
        <v>83</v>
      </c>
      <c r="CJ1" s="6" t="s">
        <v>84</v>
      </c>
      <c r="CK1" s="6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7" t="s">
        <v>92</v>
      </c>
      <c r="CS1" s="8" t="s">
        <v>93</v>
      </c>
      <c r="CT1" s="8" t="s">
        <v>94</v>
      </c>
      <c r="CU1" s="8" t="s">
        <v>95</v>
      </c>
      <c r="CV1" s="8" t="s">
        <v>96</v>
      </c>
      <c r="CW1" s="8" t="s">
        <v>97</v>
      </c>
      <c r="CX1" s="3" t="s">
        <v>98</v>
      </c>
      <c r="CY1" s="3" t="s">
        <v>99</v>
      </c>
      <c r="CZ1" s="8" t="s">
        <v>100</v>
      </c>
      <c r="DA1" s="8" t="s">
        <v>101</v>
      </c>
      <c r="DB1" s="8" t="s">
        <v>102</v>
      </c>
    </row>
    <row r="2" spans="1:106" ht="26.25" x14ac:dyDescent="0.25">
      <c r="A2" s="9">
        <v>29</v>
      </c>
      <c r="B2" s="9" t="s">
        <v>103</v>
      </c>
      <c r="C2" s="9" t="s">
        <v>104</v>
      </c>
      <c r="D2" s="9" t="s">
        <v>105</v>
      </c>
      <c r="E2" s="9" t="s">
        <v>106</v>
      </c>
      <c r="F2" s="9">
        <v>72</v>
      </c>
      <c r="G2" s="9">
        <v>182</v>
      </c>
      <c r="H2" s="9" t="s">
        <v>107</v>
      </c>
      <c r="I2" s="9">
        <v>2013</v>
      </c>
      <c r="J2" s="9">
        <v>1</v>
      </c>
      <c r="K2" s="9">
        <v>1</v>
      </c>
      <c r="L2" s="9" t="s">
        <v>108</v>
      </c>
      <c r="M2" s="9">
        <v>18</v>
      </c>
      <c r="N2" s="9" t="s">
        <v>109</v>
      </c>
      <c r="O2" s="11" t="s">
        <v>110</v>
      </c>
      <c r="P2" s="11" t="s">
        <v>111</v>
      </c>
      <c r="Q2" s="9" t="s">
        <v>112</v>
      </c>
      <c r="R2" s="9"/>
      <c r="S2" s="9"/>
      <c r="T2" s="11" t="s">
        <v>113</v>
      </c>
      <c r="U2" s="9">
        <v>82</v>
      </c>
      <c r="V2" s="9">
        <v>24</v>
      </c>
      <c r="W2" s="9">
        <v>39</v>
      </c>
      <c r="X2" s="9">
        <v>63</v>
      </c>
      <c r="Y2" s="1298">
        <f>X2/U2</f>
        <v>0.76829268292682928</v>
      </c>
      <c r="Z2" s="1298" t="s">
        <v>667</v>
      </c>
      <c r="AA2" s="1298">
        <f>75/44</f>
        <v>1.7045454545454546</v>
      </c>
      <c r="AB2" s="9">
        <v>20</v>
      </c>
      <c r="AC2" s="9">
        <v>241</v>
      </c>
      <c r="AD2" s="9">
        <v>79</v>
      </c>
      <c r="AE2" s="9">
        <v>68</v>
      </c>
      <c r="AF2" s="12">
        <v>9.9585062240663894E-2</v>
      </c>
      <c r="AG2" s="12">
        <v>6.1855670103092786E-2</v>
      </c>
      <c r="AH2" s="13">
        <v>28.3</v>
      </c>
      <c r="AI2" s="14">
        <v>141</v>
      </c>
      <c r="AJ2" s="14">
        <v>29</v>
      </c>
      <c r="AK2" s="14">
        <v>15</v>
      </c>
      <c r="AL2" s="10">
        <v>1421.7333333332999</v>
      </c>
      <c r="AM2" s="13">
        <v>17.338211382113414</v>
      </c>
      <c r="AN2" s="9">
        <v>1735</v>
      </c>
      <c r="AO2" s="13">
        <v>21.158536585365855</v>
      </c>
      <c r="AP2" s="15">
        <v>0.81944284341976936</v>
      </c>
      <c r="AQ2" s="14">
        <v>170.86974799999999</v>
      </c>
      <c r="AR2" s="15">
        <v>7.2110462909126696</v>
      </c>
      <c r="AS2" s="12">
        <v>0.20168067226890757</v>
      </c>
      <c r="AT2" s="12">
        <v>0.32773109243697479</v>
      </c>
      <c r="AU2" s="12">
        <v>0.52941176470588236</v>
      </c>
      <c r="AV2" s="9">
        <v>194</v>
      </c>
      <c r="AW2" s="9">
        <v>258</v>
      </c>
      <c r="AX2" s="16">
        <v>0.42920353982300885</v>
      </c>
      <c r="AY2" s="9">
        <v>9.1999999999999993</v>
      </c>
      <c r="AZ2" s="9">
        <v>128</v>
      </c>
      <c r="BA2" s="9">
        <v>57</v>
      </c>
      <c r="BB2" s="9">
        <v>45</v>
      </c>
      <c r="BC2" s="9">
        <v>79</v>
      </c>
      <c r="BD2" s="9">
        <v>28</v>
      </c>
      <c r="BE2" s="9">
        <v>51</v>
      </c>
      <c r="BF2" s="10">
        <v>5.4018568883054821</v>
      </c>
      <c r="BG2" s="13">
        <v>2.405514395573535</v>
      </c>
      <c r="BH2" s="13">
        <v>1.8990903122948961</v>
      </c>
      <c r="BI2" s="13">
        <v>3.3339585482510397</v>
      </c>
      <c r="BJ2" s="13">
        <v>1.1816561943168242</v>
      </c>
      <c r="BK2" s="13">
        <v>2.1523023539342159</v>
      </c>
      <c r="BL2" s="9">
        <v>26</v>
      </c>
      <c r="BM2" s="9">
        <v>13</v>
      </c>
      <c r="BN2" s="9">
        <v>0</v>
      </c>
      <c r="BO2" s="9">
        <v>0</v>
      </c>
      <c r="BP2" s="9">
        <v>0</v>
      </c>
      <c r="BQ2" s="9">
        <v>0</v>
      </c>
      <c r="BR2" s="10">
        <v>12.189581</v>
      </c>
      <c r="BS2" s="9">
        <v>3</v>
      </c>
      <c r="BT2" s="9">
        <v>0</v>
      </c>
      <c r="BU2" s="17">
        <v>0</v>
      </c>
      <c r="BV2" s="9">
        <v>0</v>
      </c>
      <c r="BW2" s="9">
        <v>7</v>
      </c>
      <c r="BX2" s="9">
        <v>23</v>
      </c>
      <c r="BY2" s="9">
        <v>0</v>
      </c>
      <c r="BZ2" s="9">
        <v>3</v>
      </c>
      <c r="CA2" s="9">
        <v>5</v>
      </c>
      <c r="CB2" s="9">
        <v>0</v>
      </c>
      <c r="CC2" s="9">
        <v>0</v>
      </c>
      <c r="CD2" s="9">
        <v>0</v>
      </c>
      <c r="CE2" s="17">
        <v>0</v>
      </c>
      <c r="CF2" s="18">
        <v>7</v>
      </c>
      <c r="CG2" s="9">
        <v>5.7</v>
      </c>
      <c r="CH2" s="9">
        <v>2.1</v>
      </c>
      <c r="CI2" s="9">
        <v>7.7</v>
      </c>
      <c r="CJ2" s="19">
        <v>9.3902439024390244E-2</v>
      </c>
      <c r="CK2" s="19">
        <v>0.32495545343712667</v>
      </c>
      <c r="CL2" s="9">
        <v>33.299999999999997</v>
      </c>
      <c r="CM2" s="9">
        <v>27.2</v>
      </c>
      <c r="CN2" s="9">
        <v>13.2</v>
      </c>
      <c r="CO2" s="9">
        <v>10.5</v>
      </c>
      <c r="CP2" s="9">
        <v>3.1</v>
      </c>
      <c r="CQ2" s="9">
        <v>-0.8</v>
      </c>
      <c r="CR2" s="9">
        <v>12.7</v>
      </c>
      <c r="CS2" s="20">
        <v>0.1548780487804878</v>
      </c>
      <c r="CT2" s="20">
        <v>0.53596548813655953</v>
      </c>
      <c r="CU2" s="9"/>
      <c r="CV2" s="9"/>
      <c r="CW2" s="9"/>
      <c r="CX2" s="9"/>
      <c r="CY2" s="9"/>
      <c r="CZ2" s="9">
        <v>3775000</v>
      </c>
      <c r="DA2" s="9"/>
      <c r="DB2" s="21">
        <v>6.0707317073170719</v>
      </c>
    </row>
    <row r="3" spans="1:106" x14ac:dyDescent="0.25">
      <c r="A3" s="22">
        <v>18</v>
      </c>
      <c r="B3" s="22" t="s">
        <v>114</v>
      </c>
      <c r="C3" s="22" t="s">
        <v>115</v>
      </c>
      <c r="D3" s="22"/>
      <c r="E3" s="22" t="s">
        <v>116</v>
      </c>
      <c r="F3" s="22">
        <v>72</v>
      </c>
      <c r="G3" s="22">
        <v>180</v>
      </c>
      <c r="H3" s="22" t="s">
        <v>117</v>
      </c>
      <c r="I3" s="22">
        <v>2011</v>
      </c>
      <c r="J3" s="22">
        <v>7</v>
      </c>
      <c r="K3" s="22">
        <v>208</v>
      </c>
      <c r="L3" s="22" t="s">
        <v>108</v>
      </c>
      <c r="M3" s="22">
        <v>22</v>
      </c>
      <c r="N3" s="22" t="s">
        <v>118</v>
      </c>
      <c r="O3" s="24" t="s">
        <v>119</v>
      </c>
      <c r="P3" s="24" t="s">
        <v>120</v>
      </c>
      <c r="Q3" s="22" t="s">
        <v>121</v>
      </c>
      <c r="R3" s="22"/>
      <c r="S3" s="22"/>
      <c r="T3" s="24" t="s">
        <v>122</v>
      </c>
      <c r="U3" s="22">
        <v>81</v>
      </c>
      <c r="V3" s="22">
        <v>23</v>
      </c>
      <c r="W3" s="22">
        <v>36</v>
      </c>
      <c r="X3" s="22">
        <v>59</v>
      </c>
      <c r="Y3" s="1298">
        <f t="shared" ref="Y3:Y66" si="0">X3/U3</f>
        <v>0.72839506172839508</v>
      </c>
      <c r="Z3" s="1298" t="s">
        <v>668</v>
      </c>
      <c r="AA3" s="1298">
        <f>52/56</f>
        <v>0.9285714285714286</v>
      </c>
      <c r="AB3" s="22">
        <v>32</v>
      </c>
      <c r="AC3" s="22">
        <v>165</v>
      </c>
      <c r="AD3" s="22">
        <v>66</v>
      </c>
      <c r="AE3" s="22">
        <v>56</v>
      </c>
      <c r="AF3" s="25">
        <v>0.1393939393939394</v>
      </c>
      <c r="AG3" s="25">
        <v>8.0139372822299645E-2</v>
      </c>
      <c r="AH3" s="26">
        <v>28</v>
      </c>
      <c r="AI3" s="27">
        <v>107</v>
      </c>
      <c r="AJ3" s="27">
        <v>14</v>
      </c>
      <c r="AK3" s="27">
        <v>13</v>
      </c>
      <c r="AL3" s="23">
        <v>1459.4833333332999</v>
      </c>
      <c r="AM3" s="26">
        <v>18.018312757201233</v>
      </c>
      <c r="AN3" s="22">
        <v>1906</v>
      </c>
      <c r="AO3" s="26">
        <v>23.530864197530864</v>
      </c>
      <c r="AP3" s="28">
        <v>0.76573102483384048</v>
      </c>
      <c r="AQ3" s="27">
        <v>198.96428599999999</v>
      </c>
      <c r="AR3" s="28">
        <v>8.179509068277774</v>
      </c>
      <c r="AS3" s="25">
        <v>0.20909090909090908</v>
      </c>
      <c r="AT3" s="25">
        <v>0.32727272727272727</v>
      </c>
      <c r="AU3" s="25">
        <v>0.53636363636363638</v>
      </c>
      <c r="AV3" s="22">
        <v>5</v>
      </c>
      <c r="AW3" s="22">
        <v>32</v>
      </c>
      <c r="AX3" s="29">
        <v>0.13513513513513514</v>
      </c>
      <c r="AY3" s="22">
        <v>0.7</v>
      </c>
      <c r="AZ3" s="22">
        <v>144</v>
      </c>
      <c r="BA3" s="22">
        <v>146</v>
      </c>
      <c r="BB3" s="22">
        <v>64</v>
      </c>
      <c r="BC3" s="22">
        <v>66</v>
      </c>
      <c r="BD3" s="22">
        <v>38</v>
      </c>
      <c r="BE3" s="22">
        <v>47</v>
      </c>
      <c r="BF3" s="23">
        <v>5.9199031620780396</v>
      </c>
      <c r="BG3" s="26">
        <v>6.0021240393291242</v>
      </c>
      <c r="BH3" s="26">
        <v>2.6310680720346844</v>
      </c>
      <c r="BI3" s="26">
        <v>2.7132889492857686</v>
      </c>
      <c r="BJ3" s="26">
        <v>1.5621966677705938</v>
      </c>
      <c r="BK3" s="26">
        <v>1.9321906154004713</v>
      </c>
      <c r="BL3" s="22">
        <v>20</v>
      </c>
      <c r="BM3" s="22">
        <v>10</v>
      </c>
      <c r="BN3" s="22">
        <v>0</v>
      </c>
      <c r="BO3" s="22">
        <v>0</v>
      </c>
      <c r="BP3" s="22">
        <v>0</v>
      </c>
      <c r="BQ3" s="22">
        <v>0</v>
      </c>
      <c r="BR3" s="23">
        <v>4.8178859999999997</v>
      </c>
      <c r="BS3" s="22">
        <v>4</v>
      </c>
      <c r="BT3" s="22">
        <v>1</v>
      </c>
      <c r="BU3" s="30">
        <v>0.25</v>
      </c>
      <c r="BV3" s="22">
        <v>0</v>
      </c>
      <c r="BW3" s="22">
        <v>4</v>
      </c>
      <c r="BX3" s="22">
        <v>22</v>
      </c>
      <c r="BY3" s="22">
        <v>0</v>
      </c>
      <c r="BZ3" s="22">
        <v>0</v>
      </c>
      <c r="CA3" s="22">
        <v>3</v>
      </c>
      <c r="CB3" s="22">
        <v>1</v>
      </c>
      <c r="CC3" s="22">
        <v>0</v>
      </c>
      <c r="CD3" s="22">
        <v>0</v>
      </c>
      <c r="CE3" s="30">
        <v>0</v>
      </c>
      <c r="CF3" s="31">
        <v>8</v>
      </c>
      <c r="CG3" s="22">
        <v>5.0999999999999996</v>
      </c>
      <c r="CH3" s="22">
        <v>2.8</v>
      </c>
      <c r="CI3" s="22">
        <v>7.9</v>
      </c>
      <c r="CJ3" s="32">
        <v>9.7530864197530875E-2</v>
      </c>
      <c r="CK3" s="32">
        <v>0.32477246514178137</v>
      </c>
      <c r="CL3" s="22">
        <v>32.5</v>
      </c>
      <c r="CM3" s="22">
        <v>32</v>
      </c>
      <c r="CN3" s="22">
        <v>26</v>
      </c>
      <c r="CO3" s="22">
        <v>9.6999999999999993</v>
      </c>
      <c r="CP3" s="22">
        <v>5.9</v>
      </c>
      <c r="CQ3" s="22">
        <v>-0.2</v>
      </c>
      <c r="CR3" s="22">
        <v>15.4</v>
      </c>
      <c r="CS3" s="33">
        <v>0.19012345679012346</v>
      </c>
      <c r="CT3" s="33">
        <v>0.63310075483334594</v>
      </c>
      <c r="CU3" s="22"/>
      <c r="CV3" s="22"/>
      <c r="CW3" s="22"/>
      <c r="CX3" s="22">
        <v>1</v>
      </c>
      <c r="CY3" s="22" t="s">
        <v>123</v>
      </c>
      <c r="CZ3" s="22">
        <v>579167</v>
      </c>
      <c r="DA3" s="22"/>
      <c r="DB3" s="34">
        <v>14.382926243902439</v>
      </c>
    </row>
    <row r="4" spans="1:106" x14ac:dyDescent="0.25">
      <c r="A4" s="35">
        <v>9</v>
      </c>
      <c r="B4" s="35" t="s">
        <v>124</v>
      </c>
      <c r="C4" s="35" t="s">
        <v>125</v>
      </c>
      <c r="D4" s="35" t="s">
        <v>126</v>
      </c>
      <c r="E4" s="35" t="s">
        <v>127</v>
      </c>
      <c r="F4" s="35">
        <v>69</v>
      </c>
      <c r="G4" s="35">
        <v>182</v>
      </c>
      <c r="H4" s="35" t="s">
        <v>107</v>
      </c>
      <c r="I4" s="35"/>
      <c r="J4" s="35"/>
      <c r="K4" s="35"/>
      <c r="L4" s="35" t="s">
        <v>108</v>
      </c>
      <c r="M4" s="35">
        <v>23</v>
      </c>
      <c r="N4" s="35" t="s">
        <v>128</v>
      </c>
      <c r="O4" s="37" t="s">
        <v>129</v>
      </c>
      <c r="P4" s="37" t="s">
        <v>130</v>
      </c>
      <c r="Q4" s="35" t="s">
        <v>121</v>
      </c>
      <c r="R4" s="35"/>
      <c r="S4" s="35"/>
      <c r="T4" s="37" t="s">
        <v>113</v>
      </c>
      <c r="U4" s="35">
        <v>82</v>
      </c>
      <c r="V4" s="35">
        <v>24</v>
      </c>
      <c r="W4" s="35">
        <v>26</v>
      </c>
      <c r="X4" s="35">
        <v>50</v>
      </c>
      <c r="Y4" s="1298">
        <f t="shared" si="0"/>
        <v>0.6097560975609756</v>
      </c>
      <c r="Z4" s="1298" t="s">
        <v>668</v>
      </c>
      <c r="AA4" s="1298">
        <f>65/62</f>
        <v>1.0483870967741935</v>
      </c>
      <c r="AB4" s="35">
        <v>23</v>
      </c>
      <c r="AC4" s="35">
        <v>181</v>
      </c>
      <c r="AD4" s="35">
        <v>71</v>
      </c>
      <c r="AE4" s="35">
        <v>61</v>
      </c>
      <c r="AF4" s="38">
        <v>0.13259668508287292</v>
      </c>
      <c r="AG4" s="38">
        <v>7.6677316293929709E-2</v>
      </c>
      <c r="AH4" s="39">
        <v>26.6</v>
      </c>
      <c r="AI4" s="40">
        <v>100</v>
      </c>
      <c r="AJ4" s="40">
        <v>14</v>
      </c>
      <c r="AK4" s="40">
        <v>15</v>
      </c>
      <c r="AL4" s="36">
        <v>1540.15</v>
      </c>
      <c r="AM4" s="39">
        <v>18.782317073170734</v>
      </c>
      <c r="AN4" s="35">
        <v>1998</v>
      </c>
      <c r="AO4" s="39">
        <v>24.365853658536587</v>
      </c>
      <c r="AP4" s="41">
        <v>0.77084584584584592</v>
      </c>
      <c r="AQ4" s="40">
        <v>118.280112</v>
      </c>
      <c r="AR4" s="41">
        <v>4.6078672337110023</v>
      </c>
      <c r="AS4" s="38">
        <v>0.21428571428571427</v>
      </c>
      <c r="AT4" s="38">
        <v>0.23214285714285715</v>
      </c>
      <c r="AU4" s="38">
        <v>0.4464285714285714</v>
      </c>
      <c r="AV4" s="35">
        <v>614</v>
      </c>
      <c r="AW4" s="35">
        <v>661</v>
      </c>
      <c r="AX4" s="42">
        <v>0.48156862745098039</v>
      </c>
      <c r="AY4" s="35">
        <v>26.2</v>
      </c>
      <c r="AZ4" s="35">
        <v>52</v>
      </c>
      <c r="BA4" s="35">
        <v>55</v>
      </c>
      <c r="BB4" s="35">
        <v>37</v>
      </c>
      <c r="BC4" s="35">
        <v>71</v>
      </c>
      <c r="BD4" s="35">
        <v>41</v>
      </c>
      <c r="BE4" s="35">
        <v>23</v>
      </c>
      <c r="BF4" s="36">
        <v>2.0257767100607085</v>
      </c>
      <c r="BG4" s="39">
        <v>2.1426484433334414</v>
      </c>
      <c r="BH4" s="39">
        <v>1.4414180436970423</v>
      </c>
      <c r="BI4" s="39">
        <v>2.7659643541213517</v>
      </c>
      <c r="BJ4" s="39">
        <v>1.59724702139402</v>
      </c>
      <c r="BK4" s="39">
        <v>0.89601662175762087</v>
      </c>
      <c r="BL4" s="35">
        <v>26</v>
      </c>
      <c r="BM4" s="35">
        <v>13</v>
      </c>
      <c r="BN4" s="35">
        <v>0</v>
      </c>
      <c r="BO4" s="35">
        <v>0</v>
      </c>
      <c r="BP4" s="35">
        <v>0</v>
      </c>
      <c r="BQ4" s="35">
        <v>0</v>
      </c>
      <c r="BR4" s="36">
        <v>8.9764330000000001</v>
      </c>
      <c r="BS4" s="35">
        <v>2</v>
      </c>
      <c r="BT4" s="35">
        <v>0</v>
      </c>
      <c r="BU4" s="43">
        <v>0</v>
      </c>
      <c r="BV4" s="35">
        <v>0</v>
      </c>
      <c r="BW4" s="35">
        <v>8</v>
      </c>
      <c r="BX4" s="35">
        <v>23</v>
      </c>
      <c r="BY4" s="35">
        <v>0</v>
      </c>
      <c r="BZ4" s="35">
        <v>0</v>
      </c>
      <c r="CA4" s="35">
        <v>4</v>
      </c>
      <c r="CB4" s="35">
        <v>1</v>
      </c>
      <c r="CC4" s="35">
        <v>0</v>
      </c>
      <c r="CD4" s="35">
        <v>0</v>
      </c>
      <c r="CE4" s="43">
        <v>0</v>
      </c>
      <c r="CF4" s="44">
        <v>7</v>
      </c>
      <c r="CG4" s="35">
        <v>3.9</v>
      </c>
      <c r="CH4" s="35">
        <v>2.5</v>
      </c>
      <c r="CI4" s="35">
        <v>6.5</v>
      </c>
      <c r="CJ4" s="45">
        <v>7.926829268292683E-2</v>
      </c>
      <c r="CK4" s="45">
        <v>0.25322208875758856</v>
      </c>
      <c r="CL4" s="35">
        <v>30</v>
      </c>
      <c r="CM4" s="35">
        <v>30.1</v>
      </c>
      <c r="CN4" s="35">
        <v>17.3</v>
      </c>
      <c r="CO4" s="35">
        <v>7.9</v>
      </c>
      <c r="CP4" s="35">
        <v>5</v>
      </c>
      <c r="CQ4" s="35">
        <v>-0.60000000000000009</v>
      </c>
      <c r="CR4" s="35">
        <v>12.3</v>
      </c>
      <c r="CS4" s="46">
        <v>0.15000000000000002</v>
      </c>
      <c r="CT4" s="46">
        <v>0.47917410641820601</v>
      </c>
      <c r="CU4" s="35"/>
      <c r="CV4" s="35"/>
      <c r="CW4" s="35"/>
      <c r="CX4" s="35"/>
      <c r="CY4" s="35"/>
      <c r="CZ4" s="35">
        <v>900000</v>
      </c>
      <c r="DA4" s="35"/>
      <c r="DB4" s="47">
        <v>10.719512195121952</v>
      </c>
    </row>
    <row r="5" spans="1:106" x14ac:dyDescent="0.25">
      <c r="A5" s="48">
        <v>47</v>
      </c>
      <c r="B5" s="48" t="s">
        <v>131</v>
      </c>
      <c r="C5" s="48" t="s">
        <v>132</v>
      </c>
      <c r="D5" s="48" t="s">
        <v>133</v>
      </c>
      <c r="E5" s="48" t="s">
        <v>127</v>
      </c>
      <c r="F5" s="48">
        <v>69</v>
      </c>
      <c r="G5" s="48">
        <v>181</v>
      </c>
      <c r="H5" s="48" t="s">
        <v>117</v>
      </c>
      <c r="I5" s="48"/>
      <c r="J5" s="48"/>
      <c r="K5" s="48"/>
      <c r="L5" s="48" t="s">
        <v>108</v>
      </c>
      <c r="M5" s="48">
        <v>22</v>
      </c>
      <c r="N5" s="48" t="s">
        <v>134</v>
      </c>
      <c r="O5" s="50" t="s">
        <v>135</v>
      </c>
      <c r="P5" s="50" t="s">
        <v>136</v>
      </c>
      <c r="Q5" s="48" t="s">
        <v>137</v>
      </c>
      <c r="R5" s="48"/>
      <c r="S5" s="48"/>
      <c r="T5" s="50" t="s">
        <v>138</v>
      </c>
      <c r="U5" s="48">
        <v>79</v>
      </c>
      <c r="V5" s="48">
        <v>14</v>
      </c>
      <c r="W5" s="48">
        <v>26</v>
      </c>
      <c r="X5" s="48">
        <v>40</v>
      </c>
      <c r="Y5" s="1298">
        <f t="shared" si="0"/>
        <v>0.50632911392405067</v>
      </c>
      <c r="Z5" s="1298" t="s">
        <v>668</v>
      </c>
      <c r="AA5" s="1298">
        <f>45/63</f>
        <v>0.7142857142857143</v>
      </c>
      <c r="AB5" s="48">
        <v>18</v>
      </c>
      <c r="AC5" s="48">
        <v>183</v>
      </c>
      <c r="AD5" s="48">
        <v>63</v>
      </c>
      <c r="AE5" s="48">
        <v>144</v>
      </c>
      <c r="AF5" s="51">
        <v>7.650273224043716E-2</v>
      </c>
      <c r="AG5" s="51">
        <v>3.5897435897435895E-2</v>
      </c>
      <c r="AH5" s="52">
        <v>46.8</v>
      </c>
      <c r="AI5" s="53">
        <v>65</v>
      </c>
      <c r="AJ5" s="53">
        <v>33</v>
      </c>
      <c r="AK5" s="53">
        <v>68</v>
      </c>
      <c r="AL5" s="49">
        <v>1382.4166666666999</v>
      </c>
      <c r="AM5" s="52">
        <v>17.498945147679745</v>
      </c>
      <c r="AN5" s="48">
        <v>1743</v>
      </c>
      <c r="AO5" s="52">
        <v>22.063291139240505</v>
      </c>
      <c r="AP5" s="54">
        <v>0.79312488047429719</v>
      </c>
      <c r="AQ5" s="53">
        <v>100.4</v>
      </c>
      <c r="AR5" s="54">
        <v>4.3575863524020892</v>
      </c>
      <c r="AS5" s="51">
        <v>0.10218978102189781</v>
      </c>
      <c r="AT5" s="51">
        <v>0.18978102189781021</v>
      </c>
      <c r="AU5" s="51">
        <v>0.29197080291970801</v>
      </c>
      <c r="AV5" s="48">
        <v>1</v>
      </c>
      <c r="AW5" s="48">
        <v>1</v>
      </c>
      <c r="AX5" s="55">
        <v>0.5</v>
      </c>
      <c r="AY5" s="48">
        <v>0</v>
      </c>
      <c r="AZ5" s="48">
        <v>95</v>
      </c>
      <c r="BA5" s="48">
        <v>50</v>
      </c>
      <c r="BB5" s="48">
        <v>77</v>
      </c>
      <c r="BC5" s="48">
        <v>63</v>
      </c>
      <c r="BD5" s="48">
        <v>35</v>
      </c>
      <c r="BE5" s="48">
        <v>24</v>
      </c>
      <c r="BF5" s="49">
        <v>4.1232141780697056</v>
      </c>
      <c r="BG5" s="52">
        <v>2.1701127252998456</v>
      </c>
      <c r="BH5" s="52">
        <v>3.3419735969617617</v>
      </c>
      <c r="BI5" s="52">
        <v>2.7343420338778048</v>
      </c>
      <c r="BJ5" s="52">
        <v>1.5190789077098916</v>
      </c>
      <c r="BK5" s="52">
        <v>1.0416541081439259</v>
      </c>
      <c r="BL5" s="48">
        <v>28</v>
      </c>
      <c r="BM5" s="48">
        <v>13</v>
      </c>
      <c r="BN5" s="48">
        <v>0</v>
      </c>
      <c r="BO5" s="48">
        <v>0</v>
      </c>
      <c r="BP5" s="48">
        <v>0</v>
      </c>
      <c r="BQ5" s="48">
        <v>0</v>
      </c>
      <c r="BR5" s="49">
        <v>3.3700809999999999</v>
      </c>
      <c r="BS5" s="48"/>
      <c r="BT5" s="48"/>
      <c r="BU5" s="56" t="s">
        <v>139</v>
      </c>
      <c r="BV5" s="48"/>
      <c r="BW5" s="48">
        <v>2</v>
      </c>
      <c r="BX5" s="48">
        <v>15</v>
      </c>
      <c r="BY5" s="48">
        <v>1</v>
      </c>
      <c r="BZ5" s="48">
        <v>0</v>
      </c>
      <c r="CA5" s="48">
        <v>2</v>
      </c>
      <c r="CB5" s="48">
        <v>0</v>
      </c>
      <c r="CC5" s="48">
        <v>0</v>
      </c>
      <c r="CD5" s="48">
        <v>0</v>
      </c>
      <c r="CE5" s="56">
        <v>0</v>
      </c>
      <c r="CF5" s="57">
        <v>2</v>
      </c>
      <c r="CG5" s="48">
        <v>4.4000000000000004</v>
      </c>
      <c r="CH5" s="48">
        <v>3.7</v>
      </c>
      <c r="CI5" s="48">
        <v>8.1</v>
      </c>
      <c r="CJ5" s="58">
        <v>0.10253164556962024</v>
      </c>
      <c r="CK5" s="58">
        <v>0.35155826149857489</v>
      </c>
      <c r="CL5" s="48">
        <v>32.9</v>
      </c>
      <c r="CM5" s="48">
        <v>25.8</v>
      </c>
      <c r="CN5" s="48">
        <v>2.2999999999999998</v>
      </c>
      <c r="CO5" s="48">
        <v>8.8000000000000007</v>
      </c>
      <c r="CP5" s="48">
        <v>2.8</v>
      </c>
      <c r="CQ5" s="48">
        <v>0</v>
      </c>
      <c r="CR5" s="48">
        <v>11.6</v>
      </c>
      <c r="CS5" s="59">
        <v>0.14683544303797469</v>
      </c>
      <c r="CT5" s="59">
        <v>0.50346615226956404</v>
      </c>
      <c r="CU5" s="48"/>
      <c r="CV5" s="48"/>
      <c r="CW5" s="48"/>
      <c r="CX5" s="48"/>
      <c r="CY5" s="48"/>
      <c r="CZ5" s="48">
        <v>1704167</v>
      </c>
      <c r="DA5" s="48"/>
      <c r="DB5" s="60">
        <v>8.6073164878048782</v>
      </c>
    </row>
    <row r="6" spans="1:106" x14ac:dyDescent="0.25">
      <c r="A6" s="61">
        <v>27</v>
      </c>
      <c r="B6" s="61" t="s">
        <v>140</v>
      </c>
      <c r="C6" s="61" t="s">
        <v>141</v>
      </c>
      <c r="D6" s="61" t="s">
        <v>142</v>
      </c>
      <c r="E6" s="61" t="s">
        <v>127</v>
      </c>
      <c r="F6" s="61">
        <v>78</v>
      </c>
      <c r="G6" s="61">
        <v>218</v>
      </c>
      <c r="H6" s="61" t="s">
        <v>107</v>
      </c>
      <c r="I6" s="61">
        <v>2010</v>
      </c>
      <c r="J6" s="61">
        <v>1</v>
      </c>
      <c r="K6" s="61">
        <v>19</v>
      </c>
      <c r="L6" s="61" t="s">
        <v>108</v>
      </c>
      <c r="M6" s="61">
        <v>21</v>
      </c>
      <c r="N6" s="61" t="s">
        <v>143</v>
      </c>
      <c r="O6" s="63" t="s">
        <v>144</v>
      </c>
      <c r="P6" s="63" t="s">
        <v>145</v>
      </c>
      <c r="Q6" s="61" t="s">
        <v>146</v>
      </c>
      <c r="R6" s="61"/>
      <c r="S6" s="61"/>
      <c r="T6" s="63" t="s">
        <v>113</v>
      </c>
      <c r="U6" s="61">
        <v>76</v>
      </c>
      <c r="V6" s="61">
        <v>16</v>
      </c>
      <c r="W6" s="61">
        <v>22</v>
      </c>
      <c r="X6" s="61">
        <v>38</v>
      </c>
      <c r="Y6" s="1298">
        <f t="shared" si="0"/>
        <v>0.5</v>
      </c>
      <c r="Z6" s="1298" t="s">
        <v>669</v>
      </c>
      <c r="AA6" s="1298">
        <f>36/40</f>
        <v>0.9</v>
      </c>
      <c r="AB6" s="61">
        <v>-14</v>
      </c>
      <c r="AC6" s="61">
        <v>185</v>
      </c>
      <c r="AD6" s="61">
        <v>58</v>
      </c>
      <c r="AE6" s="61">
        <v>58</v>
      </c>
      <c r="AF6" s="64">
        <v>8.6486486486486491E-2</v>
      </c>
      <c r="AG6" s="64">
        <v>5.3156146179401995E-2</v>
      </c>
      <c r="AH6" s="65">
        <v>28.1</v>
      </c>
      <c r="AI6" s="66">
        <v>91</v>
      </c>
      <c r="AJ6" s="66">
        <v>19</v>
      </c>
      <c r="AK6" s="66">
        <v>32</v>
      </c>
      <c r="AL6" s="62">
        <v>1231.5999999999999</v>
      </c>
      <c r="AM6" s="65">
        <v>16.205263157894734</v>
      </c>
      <c r="AN6" s="61">
        <v>1742</v>
      </c>
      <c r="AO6" s="65">
        <v>22.921052631578949</v>
      </c>
      <c r="AP6" s="67">
        <v>0.70700344431687712</v>
      </c>
      <c r="AQ6" s="66">
        <v>167.454545</v>
      </c>
      <c r="AR6" s="67">
        <v>8.1579024845729151</v>
      </c>
      <c r="AS6" s="64">
        <v>0.15841584158415842</v>
      </c>
      <c r="AT6" s="64">
        <v>0.21782178217821782</v>
      </c>
      <c r="AU6" s="64">
        <v>0.37623762376237624</v>
      </c>
      <c r="AV6" s="61">
        <v>549</v>
      </c>
      <c r="AW6" s="61">
        <v>574</v>
      </c>
      <c r="AX6" s="68">
        <v>0.48886910062333039</v>
      </c>
      <c r="AY6" s="61">
        <v>24.4</v>
      </c>
      <c r="AZ6" s="61">
        <v>89</v>
      </c>
      <c r="BA6" s="61">
        <v>117</v>
      </c>
      <c r="BB6" s="61">
        <v>23</v>
      </c>
      <c r="BC6" s="61">
        <v>58</v>
      </c>
      <c r="BD6" s="61">
        <v>28</v>
      </c>
      <c r="BE6" s="61">
        <v>37</v>
      </c>
      <c r="BF6" s="62">
        <v>4.3358233192595002</v>
      </c>
      <c r="BG6" s="65">
        <v>5.6999025657681068</v>
      </c>
      <c r="BH6" s="65">
        <v>1.120493666774927</v>
      </c>
      <c r="BI6" s="65">
        <v>2.8255927249106851</v>
      </c>
      <c r="BJ6" s="65">
        <v>1.3640792465086067</v>
      </c>
      <c r="BK6" s="65">
        <v>1.8025332900292304</v>
      </c>
      <c r="BL6" s="61">
        <v>16</v>
      </c>
      <c r="BM6" s="61">
        <v>8</v>
      </c>
      <c r="BN6" s="61">
        <v>0</v>
      </c>
      <c r="BO6" s="61">
        <v>0</v>
      </c>
      <c r="BP6" s="61">
        <v>0</v>
      </c>
      <c r="BQ6" s="61">
        <v>0</v>
      </c>
      <c r="BR6" s="62">
        <v>-1.5883780000000001</v>
      </c>
      <c r="BS6" s="61">
        <v>5</v>
      </c>
      <c r="BT6" s="61">
        <v>2</v>
      </c>
      <c r="BU6" s="69">
        <v>0.4</v>
      </c>
      <c r="BV6" s="61">
        <v>1</v>
      </c>
      <c r="BW6" s="61">
        <v>1</v>
      </c>
      <c r="BX6" s="61">
        <v>16</v>
      </c>
      <c r="BY6" s="61">
        <v>0</v>
      </c>
      <c r="BZ6" s="61">
        <v>0</v>
      </c>
      <c r="CA6" s="61">
        <v>4</v>
      </c>
      <c r="CB6" s="61">
        <v>0</v>
      </c>
      <c r="CC6" s="61">
        <v>0</v>
      </c>
      <c r="CD6" s="61">
        <v>0</v>
      </c>
      <c r="CE6" s="69">
        <v>0</v>
      </c>
      <c r="CF6" s="70">
        <v>7</v>
      </c>
      <c r="CG6" s="61">
        <v>2.8</v>
      </c>
      <c r="CH6" s="61">
        <v>0.7</v>
      </c>
      <c r="CI6" s="61">
        <v>3.5</v>
      </c>
      <c r="CJ6" s="71">
        <v>4.6052631578947366E-2</v>
      </c>
      <c r="CK6" s="71">
        <v>0.17050990581357583</v>
      </c>
      <c r="CL6" s="61">
        <v>27.9</v>
      </c>
      <c r="CM6" s="61">
        <v>26.3</v>
      </c>
      <c r="CN6" s="61">
        <v>-2.4</v>
      </c>
      <c r="CO6" s="61">
        <v>3.8</v>
      </c>
      <c r="CP6" s="61">
        <v>1.8</v>
      </c>
      <c r="CQ6" s="61">
        <v>0.4</v>
      </c>
      <c r="CR6" s="61">
        <v>6</v>
      </c>
      <c r="CS6" s="72">
        <v>7.8947368421052627E-2</v>
      </c>
      <c r="CT6" s="72">
        <v>0.29230269568041578</v>
      </c>
      <c r="CU6" s="61"/>
      <c r="CV6" s="61"/>
      <c r="CW6" s="61"/>
      <c r="CX6" s="61">
        <v>5</v>
      </c>
      <c r="CY6" s="61" t="s">
        <v>147</v>
      </c>
      <c r="CZ6" s="61">
        <v>1100000</v>
      </c>
      <c r="DA6" s="61"/>
      <c r="DB6" s="73">
        <v>4.0682926829268293</v>
      </c>
    </row>
    <row r="7" spans="1:106" x14ac:dyDescent="0.25">
      <c r="A7" s="74">
        <v>20</v>
      </c>
      <c r="B7" s="74" t="s">
        <v>148</v>
      </c>
      <c r="C7" s="74" t="s">
        <v>149</v>
      </c>
      <c r="D7" s="74" t="s">
        <v>150</v>
      </c>
      <c r="E7" s="74" t="s">
        <v>127</v>
      </c>
      <c r="F7" s="74">
        <v>75</v>
      </c>
      <c r="G7" s="74">
        <v>226</v>
      </c>
      <c r="H7" s="74" t="s">
        <v>117</v>
      </c>
      <c r="I7" s="74">
        <v>2009</v>
      </c>
      <c r="J7" s="74">
        <v>1</v>
      </c>
      <c r="K7" s="74">
        <v>19</v>
      </c>
      <c r="L7" s="74" t="s">
        <v>108</v>
      </c>
      <c r="M7" s="74">
        <v>22</v>
      </c>
      <c r="N7" s="74" t="s">
        <v>151</v>
      </c>
      <c r="O7" s="76" t="s">
        <v>152</v>
      </c>
      <c r="P7" s="76" t="s">
        <v>153</v>
      </c>
      <c r="Q7" s="74" t="s">
        <v>154</v>
      </c>
      <c r="R7" s="74"/>
      <c r="S7" s="74"/>
      <c r="T7" s="76" t="s">
        <v>155</v>
      </c>
      <c r="U7" s="74">
        <v>66</v>
      </c>
      <c r="V7" s="74">
        <v>17</v>
      </c>
      <c r="W7" s="74">
        <v>20</v>
      </c>
      <c r="X7" s="74">
        <v>37</v>
      </c>
      <c r="Y7" s="1298">
        <f t="shared" si="0"/>
        <v>0.56060606060606055</v>
      </c>
      <c r="Z7" s="1298" t="s">
        <v>669</v>
      </c>
      <c r="AA7" s="1298">
        <f>45/44</f>
        <v>1.0227272727272727</v>
      </c>
      <c r="AB7" s="74">
        <v>14</v>
      </c>
      <c r="AC7" s="74">
        <v>136</v>
      </c>
      <c r="AD7" s="74">
        <v>60</v>
      </c>
      <c r="AE7" s="74">
        <v>31</v>
      </c>
      <c r="AF7" s="77">
        <v>0.125</v>
      </c>
      <c r="AG7" s="77">
        <v>7.4889867841409691E-2</v>
      </c>
      <c r="AH7" s="78">
        <v>24.1</v>
      </c>
      <c r="AI7" s="79">
        <v>58</v>
      </c>
      <c r="AJ7" s="79">
        <v>24</v>
      </c>
      <c r="AK7" s="79">
        <v>11</v>
      </c>
      <c r="AL7" s="75">
        <v>1038.0999999999999</v>
      </c>
      <c r="AM7" s="78">
        <v>15.728787878787877</v>
      </c>
      <c r="AN7" s="74">
        <v>1424</v>
      </c>
      <c r="AO7" s="78">
        <v>21.575757575757574</v>
      </c>
      <c r="AP7" s="80">
        <v>0.72900280898876402</v>
      </c>
      <c r="AQ7" s="79">
        <v>124.246512</v>
      </c>
      <c r="AR7" s="80">
        <v>7.1811874771216644</v>
      </c>
      <c r="AS7" s="77">
        <v>0.19767441860465115</v>
      </c>
      <c r="AT7" s="77">
        <v>0.23255813953488372</v>
      </c>
      <c r="AU7" s="77">
        <v>0.43023255813953487</v>
      </c>
      <c r="AV7" s="74">
        <v>8</v>
      </c>
      <c r="AW7" s="74">
        <v>11</v>
      </c>
      <c r="AX7" s="81">
        <v>0.42105263157894735</v>
      </c>
      <c r="AY7" s="74">
        <v>0.4</v>
      </c>
      <c r="AZ7" s="74">
        <v>87</v>
      </c>
      <c r="BA7" s="74">
        <v>146</v>
      </c>
      <c r="BB7" s="74">
        <v>18</v>
      </c>
      <c r="BC7" s="74">
        <v>60</v>
      </c>
      <c r="BD7" s="74">
        <v>25</v>
      </c>
      <c r="BE7" s="74">
        <v>21</v>
      </c>
      <c r="BF7" s="75">
        <v>5.0284173008380701</v>
      </c>
      <c r="BG7" s="78">
        <v>8.4384934014064168</v>
      </c>
      <c r="BH7" s="78">
        <v>1.0403622001733939</v>
      </c>
      <c r="BI7" s="78">
        <v>3.4678740005779791</v>
      </c>
      <c r="BJ7" s="78">
        <v>1.4449475002408247</v>
      </c>
      <c r="BK7" s="78">
        <v>1.2137559002022928</v>
      </c>
      <c r="BL7" s="74">
        <v>72</v>
      </c>
      <c r="BM7" s="74">
        <v>25</v>
      </c>
      <c r="BN7" s="74">
        <v>2</v>
      </c>
      <c r="BO7" s="74">
        <v>0</v>
      </c>
      <c r="BP7" s="74">
        <v>1</v>
      </c>
      <c r="BQ7" s="74">
        <v>0</v>
      </c>
      <c r="BR7" s="75">
        <v>-12.304582999999999</v>
      </c>
      <c r="BS7" s="74"/>
      <c r="BT7" s="74"/>
      <c r="BU7" s="82" t="s">
        <v>139</v>
      </c>
      <c r="BV7" s="74"/>
      <c r="BW7" s="74">
        <v>2</v>
      </c>
      <c r="BX7" s="74">
        <v>10</v>
      </c>
      <c r="BY7" s="74">
        <v>0</v>
      </c>
      <c r="BZ7" s="74">
        <v>0</v>
      </c>
      <c r="CA7" s="74">
        <v>0</v>
      </c>
      <c r="CB7" s="74">
        <v>0</v>
      </c>
      <c r="CC7" s="74">
        <v>0</v>
      </c>
      <c r="CD7" s="74">
        <v>1</v>
      </c>
      <c r="CE7" s="82">
        <v>1</v>
      </c>
      <c r="CF7" s="83">
        <v>4</v>
      </c>
      <c r="CG7" s="74">
        <v>3.2</v>
      </c>
      <c r="CH7" s="74">
        <v>1.9</v>
      </c>
      <c r="CI7" s="74">
        <v>5.0999999999999996</v>
      </c>
      <c r="CJ7" s="84">
        <v>7.7272727272727271E-2</v>
      </c>
      <c r="CK7" s="84">
        <v>0.29476929004912822</v>
      </c>
      <c r="CL7" s="74">
        <v>24.3</v>
      </c>
      <c r="CM7" s="74">
        <v>20.3</v>
      </c>
      <c r="CN7" s="74">
        <v>13.4</v>
      </c>
      <c r="CO7" s="74">
        <v>5</v>
      </c>
      <c r="CP7" s="74">
        <v>3</v>
      </c>
      <c r="CQ7" s="74">
        <v>0</v>
      </c>
      <c r="CR7" s="74">
        <v>8.1</v>
      </c>
      <c r="CS7" s="85">
        <v>0.12272727272727273</v>
      </c>
      <c r="CT7" s="85">
        <v>0.4681629900780272</v>
      </c>
      <c r="CU7" s="74"/>
      <c r="CV7" s="74"/>
      <c r="CW7" s="74"/>
      <c r="CX7" s="74">
        <v>9</v>
      </c>
      <c r="CY7" s="74" t="s">
        <v>156</v>
      </c>
      <c r="CZ7" s="74">
        <v>1325000</v>
      </c>
      <c r="DA7" s="74"/>
      <c r="DB7" s="86">
        <v>5.7731707317073164</v>
      </c>
    </row>
    <row r="8" spans="1:106" x14ac:dyDescent="0.25">
      <c r="A8" s="87">
        <v>12</v>
      </c>
      <c r="B8" s="87" t="s">
        <v>157</v>
      </c>
      <c r="C8" s="87" t="s">
        <v>158</v>
      </c>
      <c r="D8" s="87" t="s">
        <v>159</v>
      </c>
      <c r="E8" s="87" t="s">
        <v>106</v>
      </c>
      <c r="F8" s="87">
        <v>76</v>
      </c>
      <c r="G8" s="87">
        <v>205</v>
      </c>
      <c r="H8" s="87" t="s">
        <v>107</v>
      </c>
      <c r="I8" s="87">
        <v>2009</v>
      </c>
      <c r="J8" s="87">
        <v>2</v>
      </c>
      <c r="K8" s="87">
        <v>38</v>
      </c>
      <c r="L8" s="87" t="s">
        <v>108</v>
      </c>
      <c r="M8" s="87">
        <v>23</v>
      </c>
      <c r="N8" s="87" t="s">
        <v>160</v>
      </c>
      <c r="O8" s="89" t="s">
        <v>161</v>
      </c>
      <c r="P8" s="89" t="s">
        <v>162</v>
      </c>
      <c r="Q8" s="87" t="s">
        <v>163</v>
      </c>
      <c r="R8" s="87"/>
      <c r="S8" s="87"/>
      <c r="T8" s="89" t="s">
        <v>164</v>
      </c>
      <c r="U8" s="87">
        <v>79</v>
      </c>
      <c r="V8" s="87">
        <v>13</v>
      </c>
      <c r="W8" s="87">
        <v>22</v>
      </c>
      <c r="X8" s="87">
        <v>35</v>
      </c>
      <c r="Y8" s="1298">
        <f t="shared" si="0"/>
        <v>0.44303797468354428</v>
      </c>
      <c r="Z8" s="1298" t="s">
        <v>668</v>
      </c>
      <c r="AA8" s="1298">
        <f>35/57</f>
        <v>0.61403508771929827</v>
      </c>
      <c r="AB8" s="87">
        <v>-21</v>
      </c>
      <c r="AC8" s="87">
        <v>144</v>
      </c>
      <c r="AD8" s="87">
        <v>74</v>
      </c>
      <c r="AE8" s="87">
        <v>61</v>
      </c>
      <c r="AF8" s="90">
        <v>9.0277777777777776E-2</v>
      </c>
      <c r="AG8" s="90">
        <v>4.6594982078853049E-2</v>
      </c>
      <c r="AH8" s="91">
        <v>23.1</v>
      </c>
      <c r="AI8" s="92">
        <v>70</v>
      </c>
      <c r="AJ8" s="92">
        <v>20</v>
      </c>
      <c r="AK8" s="92">
        <v>10</v>
      </c>
      <c r="AL8" s="88">
        <v>1194.0166666667001</v>
      </c>
      <c r="AM8" s="91">
        <v>15.11413502109747</v>
      </c>
      <c r="AN8" s="87">
        <v>1611</v>
      </c>
      <c r="AO8" s="91">
        <v>20.39240506329114</v>
      </c>
      <c r="AP8" s="93">
        <v>0.74116490792470524</v>
      </c>
      <c r="AQ8" s="92">
        <v>122.80672300000001</v>
      </c>
      <c r="AR8" s="93">
        <v>6.1711059700449136</v>
      </c>
      <c r="AS8" s="90">
        <v>9.0277777777777776E-2</v>
      </c>
      <c r="AT8" s="90">
        <v>0.15277777777777779</v>
      </c>
      <c r="AU8" s="90">
        <v>0.24305555555555558</v>
      </c>
      <c r="AV8" s="87">
        <v>64</v>
      </c>
      <c r="AW8" s="87">
        <v>68</v>
      </c>
      <c r="AX8" s="94">
        <v>0.48484848484848486</v>
      </c>
      <c r="AY8" s="87">
        <v>2.6</v>
      </c>
      <c r="AZ8" s="87">
        <v>108</v>
      </c>
      <c r="BA8" s="87">
        <v>76</v>
      </c>
      <c r="BB8" s="87">
        <v>21</v>
      </c>
      <c r="BC8" s="87">
        <v>74</v>
      </c>
      <c r="BD8" s="87">
        <v>26</v>
      </c>
      <c r="BE8" s="87">
        <v>27</v>
      </c>
      <c r="BF8" s="88">
        <v>5.4270599237865067</v>
      </c>
      <c r="BG8" s="91">
        <v>3.8190421685905043</v>
      </c>
      <c r="BH8" s="91">
        <v>1.0552616518473763</v>
      </c>
      <c r="BI8" s="91">
        <v>3.7185410588907546</v>
      </c>
      <c r="BJ8" s="91">
        <v>1.3065144260967516</v>
      </c>
      <c r="BK8" s="91">
        <v>1.3567649809466267</v>
      </c>
      <c r="BL8" s="87">
        <v>38</v>
      </c>
      <c r="BM8" s="87">
        <v>14</v>
      </c>
      <c r="BN8" s="87">
        <v>2</v>
      </c>
      <c r="BO8" s="87">
        <v>0</v>
      </c>
      <c r="BP8" s="87">
        <v>0</v>
      </c>
      <c r="BQ8" s="87">
        <v>0</v>
      </c>
      <c r="BR8" s="88">
        <v>-4.0980610000000004</v>
      </c>
      <c r="BS8" s="87">
        <v>5</v>
      </c>
      <c r="BT8" s="87">
        <v>1</v>
      </c>
      <c r="BU8" s="95">
        <v>0.2</v>
      </c>
      <c r="BV8" s="87">
        <v>1</v>
      </c>
      <c r="BW8" s="87">
        <v>2</v>
      </c>
      <c r="BX8" s="87">
        <v>16</v>
      </c>
      <c r="BY8" s="87">
        <v>0</v>
      </c>
      <c r="BZ8" s="87">
        <v>0</v>
      </c>
      <c r="CA8" s="87">
        <v>4</v>
      </c>
      <c r="CB8" s="87">
        <v>1</v>
      </c>
      <c r="CC8" s="87">
        <v>0</v>
      </c>
      <c r="CD8" s="87">
        <v>1</v>
      </c>
      <c r="CE8" s="95">
        <v>1</v>
      </c>
      <c r="CF8" s="96">
        <v>3</v>
      </c>
      <c r="CG8" s="87">
        <v>2.1</v>
      </c>
      <c r="CH8" s="87">
        <v>0.30000000000000004</v>
      </c>
      <c r="CI8" s="87">
        <v>2.4</v>
      </c>
      <c r="CJ8" s="97">
        <v>3.0379746835443037E-2</v>
      </c>
      <c r="CK8" s="97">
        <v>0.12060133163970016</v>
      </c>
      <c r="CL8" s="87">
        <v>30.6</v>
      </c>
      <c r="CM8" s="87">
        <v>25</v>
      </c>
      <c r="CN8" s="87">
        <v>-20.399999999999999</v>
      </c>
      <c r="CO8" s="87">
        <v>0.8</v>
      </c>
      <c r="CP8" s="87">
        <v>0</v>
      </c>
      <c r="CQ8" s="87">
        <v>-0.5</v>
      </c>
      <c r="CR8" s="87">
        <v>0.30000000000000004</v>
      </c>
      <c r="CS8" s="98">
        <v>3.7974683544303805E-3</v>
      </c>
      <c r="CT8" s="98">
        <v>1.507516645496252E-2</v>
      </c>
      <c r="CU8" s="87"/>
      <c r="CV8" s="87"/>
      <c r="CW8" s="87"/>
      <c r="CX8" s="87">
        <v>2</v>
      </c>
      <c r="CY8" s="87" t="s">
        <v>165</v>
      </c>
      <c r="CZ8" s="87">
        <v>900000</v>
      </c>
      <c r="DA8" s="87"/>
      <c r="DB8" s="99">
        <v>-1.2804878048780488</v>
      </c>
    </row>
    <row r="9" spans="1:106" x14ac:dyDescent="0.25">
      <c r="A9" s="100">
        <v>23</v>
      </c>
      <c r="B9" s="100" t="s">
        <v>166</v>
      </c>
      <c r="C9" s="100" t="s">
        <v>167</v>
      </c>
      <c r="D9" s="100" t="s">
        <v>168</v>
      </c>
      <c r="E9" s="100" t="s">
        <v>106</v>
      </c>
      <c r="F9" s="100">
        <v>74</v>
      </c>
      <c r="G9" s="100">
        <v>185</v>
      </c>
      <c r="H9" s="100" t="s">
        <v>117</v>
      </c>
      <c r="I9" s="100">
        <v>2013</v>
      </c>
      <c r="J9" s="100">
        <v>1</v>
      </c>
      <c r="K9" s="100">
        <v>6</v>
      </c>
      <c r="L9" s="100" t="s">
        <v>108</v>
      </c>
      <c r="M9" s="100">
        <v>19</v>
      </c>
      <c r="N9" s="100" t="s">
        <v>169</v>
      </c>
      <c r="O9" s="102" t="s">
        <v>170</v>
      </c>
      <c r="P9" s="102" t="s">
        <v>171</v>
      </c>
      <c r="Q9" s="100" t="s">
        <v>172</v>
      </c>
      <c r="R9" s="100"/>
      <c r="S9" s="100"/>
      <c r="T9" s="102" t="s">
        <v>113</v>
      </c>
      <c r="U9" s="100">
        <v>75</v>
      </c>
      <c r="V9" s="100">
        <v>22</v>
      </c>
      <c r="W9" s="100">
        <v>12</v>
      </c>
      <c r="X9" s="100">
        <v>34</v>
      </c>
      <c r="Y9" s="1298">
        <f t="shared" si="0"/>
        <v>0.45333333333333331</v>
      </c>
      <c r="Z9" s="1298" t="s">
        <v>670</v>
      </c>
      <c r="AA9" s="1298">
        <f>78/58</f>
        <v>1.3448275862068966</v>
      </c>
      <c r="AB9" s="100">
        <v>-20</v>
      </c>
      <c r="AC9" s="100">
        <v>140</v>
      </c>
      <c r="AD9" s="100">
        <v>44</v>
      </c>
      <c r="AE9" s="100">
        <v>66</v>
      </c>
      <c r="AF9" s="103">
        <v>0.15714285714285714</v>
      </c>
      <c r="AG9" s="103">
        <v>8.7999999999999995E-2</v>
      </c>
      <c r="AH9" s="104">
        <v>32.299999999999997</v>
      </c>
      <c r="AI9" s="105">
        <v>98</v>
      </c>
      <c r="AJ9" s="105">
        <v>23</v>
      </c>
      <c r="AK9" s="105">
        <v>3</v>
      </c>
      <c r="AL9" s="101">
        <v>1197.4166666666999</v>
      </c>
      <c r="AM9" s="104">
        <v>15.965555555556</v>
      </c>
      <c r="AN9" s="100">
        <v>1695</v>
      </c>
      <c r="AO9" s="104">
        <v>22.6</v>
      </c>
      <c r="AP9" s="106">
        <v>0.70644051130778762</v>
      </c>
      <c r="AQ9" s="105">
        <v>90.1</v>
      </c>
      <c r="AR9" s="106">
        <v>4.5147191871388541</v>
      </c>
      <c r="AS9" s="103">
        <v>0.20183486238532111</v>
      </c>
      <c r="AT9" s="103">
        <v>0.11009174311926606</v>
      </c>
      <c r="AU9" s="103">
        <v>0.31192660550458717</v>
      </c>
      <c r="AV9" s="100">
        <v>476</v>
      </c>
      <c r="AW9" s="100">
        <v>560</v>
      </c>
      <c r="AX9" s="107">
        <v>0.45945945945945948</v>
      </c>
      <c r="AY9" s="100">
        <v>23.1</v>
      </c>
      <c r="AZ9" s="100">
        <v>33</v>
      </c>
      <c r="BA9" s="100">
        <v>42</v>
      </c>
      <c r="BB9" s="100">
        <v>23</v>
      </c>
      <c r="BC9" s="100">
        <v>44</v>
      </c>
      <c r="BD9" s="100">
        <v>31</v>
      </c>
      <c r="BE9" s="100">
        <v>26</v>
      </c>
      <c r="BF9" s="101">
        <v>1.6535597466768279</v>
      </c>
      <c r="BG9" s="104">
        <v>2.1045305866795991</v>
      </c>
      <c r="BH9" s="104">
        <v>1.1524810355626376</v>
      </c>
      <c r="BI9" s="104">
        <v>2.2047463289024374</v>
      </c>
      <c r="BJ9" s="104">
        <v>1.5533440044539897</v>
      </c>
      <c r="BK9" s="104">
        <v>1.3028046488968945</v>
      </c>
      <c r="BL9" s="100">
        <v>8</v>
      </c>
      <c r="BM9" s="100">
        <v>4</v>
      </c>
      <c r="BN9" s="100">
        <v>0</v>
      </c>
      <c r="BO9" s="100">
        <v>0</v>
      </c>
      <c r="BP9" s="100">
        <v>0</v>
      </c>
      <c r="BQ9" s="100">
        <v>0</v>
      </c>
      <c r="BR9" s="101">
        <v>1.454164</v>
      </c>
      <c r="BS9" s="100">
        <v>8</v>
      </c>
      <c r="BT9" s="100">
        <v>5</v>
      </c>
      <c r="BU9" s="108">
        <v>0.625</v>
      </c>
      <c r="BV9" s="100">
        <v>4</v>
      </c>
      <c r="BW9" s="100">
        <v>7</v>
      </c>
      <c r="BX9" s="100">
        <v>19</v>
      </c>
      <c r="BY9" s="100">
        <v>1</v>
      </c>
      <c r="BZ9" s="100">
        <v>2</v>
      </c>
      <c r="CA9" s="100">
        <v>2</v>
      </c>
      <c r="CB9" s="100">
        <v>0</v>
      </c>
      <c r="CC9" s="100">
        <v>0</v>
      </c>
      <c r="CD9" s="100">
        <v>0</v>
      </c>
      <c r="CE9" s="108">
        <v>0</v>
      </c>
      <c r="CF9" s="109">
        <v>4</v>
      </c>
      <c r="CG9" s="100">
        <v>2.9</v>
      </c>
      <c r="CH9" s="100">
        <v>0.7</v>
      </c>
      <c r="CI9" s="100">
        <v>3.6</v>
      </c>
      <c r="CJ9" s="110">
        <v>4.8000000000000001E-2</v>
      </c>
      <c r="CK9" s="110">
        <v>0.18038833600110848</v>
      </c>
      <c r="CL9" s="100">
        <v>27.8</v>
      </c>
      <c r="CM9" s="100">
        <v>23.5</v>
      </c>
      <c r="CN9" s="100">
        <v>-7.9</v>
      </c>
      <c r="CO9" s="100">
        <v>2.8</v>
      </c>
      <c r="CP9" s="100">
        <v>1.2</v>
      </c>
      <c r="CQ9" s="100">
        <v>2.2000000000000002</v>
      </c>
      <c r="CR9" s="100">
        <v>6.1</v>
      </c>
      <c r="CS9" s="111">
        <v>8.1333333333333327E-2</v>
      </c>
      <c r="CT9" s="111">
        <v>0.30565801377965601</v>
      </c>
      <c r="CU9" s="100"/>
      <c r="CV9" s="100"/>
      <c r="CW9" s="100"/>
      <c r="CX9" s="100">
        <v>7</v>
      </c>
      <c r="CY9" s="100" t="s">
        <v>173</v>
      </c>
      <c r="CZ9" s="100">
        <v>1775000</v>
      </c>
      <c r="DA9" s="100"/>
      <c r="DB9" s="112">
        <v>2.9829268292682931</v>
      </c>
    </row>
    <row r="10" spans="1:106" ht="26.25" x14ac:dyDescent="0.25">
      <c r="A10" s="113">
        <v>43</v>
      </c>
      <c r="B10" s="113" t="s">
        <v>174</v>
      </c>
      <c r="C10" s="113" t="s">
        <v>175</v>
      </c>
      <c r="D10" s="113"/>
      <c r="E10" s="113" t="s">
        <v>176</v>
      </c>
      <c r="F10" s="113">
        <v>76</v>
      </c>
      <c r="G10" s="113">
        <v>205</v>
      </c>
      <c r="H10" s="113" t="s">
        <v>117</v>
      </c>
      <c r="I10" s="113">
        <v>2013</v>
      </c>
      <c r="J10" s="113">
        <v>1</v>
      </c>
      <c r="K10" s="113">
        <v>10</v>
      </c>
      <c r="L10" s="113" t="s">
        <v>108</v>
      </c>
      <c r="M10" s="113">
        <v>18</v>
      </c>
      <c r="N10" s="113" t="s">
        <v>177</v>
      </c>
      <c r="O10" s="115" t="s">
        <v>178</v>
      </c>
      <c r="P10" s="115" t="s">
        <v>179</v>
      </c>
      <c r="Q10" s="113" t="s">
        <v>163</v>
      </c>
      <c r="R10" s="113"/>
      <c r="S10" s="113"/>
      <c r="T10" s="115" t="s">
        <v>180</v>
      </c>
      <c r="U10" s="113">
        <v>79</v>
      </c>
      <c r="V10" s="113">
        <v>14</v>
      </c>
      <c r="W10" s="113">
        <v>20</v>
      </c>
      <c r="X10" s="113">
        <v>34</v>
      </c>
      <c r="Y10" s="1298">
        <f t="shared" si="0"/>
        <v>0.43037974683544306</v>
      </c>
      <c r="Z10" s="1298" t="s">
        <v>671</v>
      </c>
      <c r="AA10" s="1298">
        <f>6/18</f>
        <v>0.33333333333333331</v>
      </c>
      <c r="AB10" s="113">
        <v>20</v>
      </c>
      <c r="AC10" s="113">
        <v>128</v>
      </c>
      <c r="AD10" s="113">
        <v>51</v>
      </c>
      <c r="AE10" s="113">
        <v>41</v>
      </c>
      <c r="AF10" s="116">
        <v>0.109375</v>
      </c>
      <c r="AG10" s="116">
        <v>6.363636363636363E-2</v>
      </c>
      <c r="AH10" s="117">
        <v>24.1</v>
      </c>
      <c r="AI10" s="118">
        <v>69</v>
      </c>
      <c r="AJ10" s="118">
        <v>10</v>
      </c>
      <c r="AK10" s="118">
        <v>11</v>
      </c>
      <c r="AL10" s="114">
        <v>1182.1500000000001</v>
      </c>
      <c r="AM10" s="117">
        <v>14.963924050632913</v>
      </c>
      <c r="AN10" s="113">
        <v>1497</v>
      </c>
      <c r="AO10" s="117">
        <v>18.949367088607595</v>
      </c>
      <c r="AP10" s="119">
        <v>0.78967935871743489</v>
      </c>
      <c r="AQ10" s="118">
        <v>146.50769199999999</v>
      </c>
      <c r="AR10" s="119">
        <v>7.4359950260119261</v>
      </c>
      <c r="AS10" s="116">
        <v>0.12173913043478261</v>
      </c>
      <c r="AT10" s="116">
        <v>0.17391304347826086</v>
      </c>
      <c r="AU10" s="116">
        <v>0.29565217391304349</v>
      </c>
      <c r="AV10" s="113">
        <v>0</v>
      </c>
      <c r="AW10" s="113">
        <v>1</v>
      </c>
      <c r="AX10" s="120">
        <v>0</v>
      </c>
      <c r="AY10" s="113">
        <v>0</v>
      </c>
      <c r="AZ10" s="113">
        <v>120</v>
      </c>
      <c r="BA10" s="113">
        <v>86</v>
      </c>
      <c r="BB10" s="113">
        <v>27</v>
      </c>
      <c r="BC10" s="113">
        <v>51</v>
      </c>
      <c r="BD10" s="113">
        <v>59</v>
      </c>
      <c r="BE10" s="113">
        <v>25</v>
      </c>
      <c r="BF10" s="114">
        <v>6.0905976398934145</v>
      </c>
      <c r="BG10" s="117">
        <v>4.3649283085902804</v>
      </c>
      <c r="BH10" s="117">
        <v>1.3703844689760181</v>
      </c>
      <c r="BI10" s="117">
        <v>2.5885039969547012</v>
      </c>
      <c r="BJ10" s="117">
        <v>2.9945438396142618</v>
      </c>
      <c r="BK10" s="117">
        <v>1.2688745083111281</v>
      </c>
      <c r="BL10" s="113">
        <v>8</v>
      </c>
      <c r="BM10" s="113">
        <v>3</v>
      </c>
      <c r="BN10" s="113">
        <v>0</v>
      </c>
      <c r="BO10" s="113">
        <v>0</v>
      </c>
      <c r="BP10" s="113">
        <v>0</v>
      </c>
      <c r="BQ10" s="113">
        <v>0</v>
      </c>
      <c r="BR10" s="114">
        <v>13.266660999999999</v>
      </c>
      <c r="BS10" s="113">
        <v>1</v>
      </c>
      <c r="BT10" s="113">
        <v>0</v>
      </c>
      <c r="BU10" s="121">
        <v>0</v>
      </c>
      <c r="BV10" s="113">
        <v>0</v>
      </c>
      <c r="BW10" s="113">
        <v>2</v>
      </c>
      <c r="BX10" s="113">
        <v>16</v>
      </c>
      <c r="BY10" s="113">
        <v>0</v>
      </c>
      <c r="BZ10" s="113">
        <v>1</v>
      </c>
      <c r="CA10" s="113">
        <v>2</v>
      </c>
      <c r="CB10" s="113">
        <v>0</v>
      </c>
      <c r="CC10" s="113">
        <v>1</v>
      </c>
      <c r="CD10" s="113">
        <v>2</v>
      </c>
      <c r="CE10" s="121">
        <v>2</v>
      </c>
      <c r="CF10" s="122">
        <v>4</v>
      </c>
      <c r="CG10" s="113">
        <v>2.1</v>
      </c>
      <c r="CH10" s="113">
        <v>2.1</v>
      </c>
      <c r="CI10" s="113">
        <v>4.0999999999999996</v>
      </c>
      <c r="CJ10" s="123">
        <v>5.1898734177215182E-2</v>
      </c>
      <c r="CK10" s="123">
        <v>0.20809541936302495</v>
      </c>
      <c r="CL10" s="113">
        <v>22.7</v>
      </c>
      <c r="CM10" s="113">
        <v>20.9</v>
      </c>
      <c r="CN10" s="113">
        <v>19.5</v>
      </c>
      <c r="CO10" s="113">
        <v>4.2</v>
      </c>
      <c r="CP10" s="113">
        <v>3.7</v>
      </c>
      <c r="CQ10" s="113">
        <v>-0.30000000000000004</v>
      </c>
      <c r="CR10" s="113">
        <v>7.5</v>
      </c>
      <c r="CS10" s="124">
        <v>9.49367088607595E-2</v>
      </c>
      <c r="CT10" s="124">
        <v>0.38066235249333841</v>
      </c>
      <c r="CU10" s="113"/>
      <c r="CV10" s="113"/>
      <c r="CW10" s="113"/>
      <c r="CX10" s="113"/>
      <c r="CY10" s="113"/>
      <c r="CZ10" s="113">
        <v>2125000</v>
      </c>
      <c r="DA10" s="113"/>
      <c r="DB10" s="125">
        <v>3.7682926829268295</v>
      </c>
    </row>
    <row r="11" spans="1:106" x14ac:dyDescent="0.25">
      <c r="A11" s="126">
        <v>55</v>
      </c>
      <c r="B11" s="126" t="s">
        <v>181</v>
      </c>
      <c r="C11" s="126" t="s">
        <v>182</v>
      </c>
      <c r="D11" s="126" t="s">
        <v>168</v>
      </c>
      <c r="E11" s="126" t="s">
        <v>106</v>
      </c>
      <c r="F11" s="126">
        <v>74</v>
      </c>
      <c r="G11" s="126">
        <v>195</v>
      </c>
      <c r="H11" s="126" t="s">
        <v>107</v>
      </c>
      <c r="I11" s="126">
        <v>2011</v>
      </c>
      <c r="J11" s="126">
        <v>1</v>
      </c>
      <c r="K11" s="126">
        <v>7</v>
      </c>
      <c r="L11" s="126" t="s">
        <v>108</v>
      </c>
      <c r="M11" s="126">
        <v>20</v>
      </c>
      <c r="N11" s="126" t="s">
        <v>183</v>
      </c>
      <c r="O11" s="128" t="s">
        <v>184</v>
      </c>
      <c r="P11" s="128" t="s">
        <v>185</v>
      </c>
      <c r="Q11" s="126" t="s">
        <v>186</v>
      </c>
      <c r="R11" s="126"/>
      <c r="S11" s="126"/>
      <c r="T11" s="128" t="s">
        <v>113</v>
      </c>
      <c r="U11" s="126">
        <v>63</v>
      </c>
      <c r="V11" s="126">
        <v>13</v>
      </c>
      <c r="W11" s="126">
        <v>21</v>
      </c>
      <c r="X11" s="126">
        <v>34</v>
      </c>
      <c r="Y11" s="1298">
        <f t="shared" si="0"/>
        <v>0.53968253968253965</v>
      </c>
      <c r="Z11" s="1298" t="s">
        <v>670</v>
      </c>
      <c r="AA11" s="1298">
        <f>79/45</f>
        <v>1.7555555555555555</v>
      </c>
      <c r="AB11" s="126">
        <v>9</v>
      </c>
      <c r="AC11" s="126">
        <v>100</v>
      </c>
      <c r="AD11" s="126">
        <v>45</v>
      </c>
      <c r="AE11" s="126">
        <v>39</v>
      </c>
      <c r="AF11" s="129">
        <v>0.13</v>
      </c>
      <c r="AG11" s="129">
        <v>7.0652173913043473E-2</v>
      </c>
      <c r="AH11" s="130">
        <v>25.5</v>
      </c>
      <c r="AI11" s="131">
        <v>48</v>
      </c>
      <c r="AJ11" s="131">
        <v>19</v>
      </c>
      <c r="AK11" s="131">
        <v>3</v>
      </c>
      <c r="AL11" s="127">
        <v>1030.5666666667</v>
      </c>
      <c r="AM11" s="130">
        <v>16.358201058201587</v>
      </c>
      <c r="AN11" s="126">
        <v>1254</v>
      </c>
      <c r="AO11" s="130">
        <v>19.904761904761905</v>
      </c>
      <c r="AP11" s="132">
        <v>0.82182349813931421</v>
      </c>
      <c r="AQ11" s="131">
        <v>110.298103</v>
      </c>
      <c r="AR11" s="132">
        <v>6.4215992948861009</v>
      </c>
      <c r="AS11" s="129">
        <v>0.14942528735632185</v>
      </c>
      <c r="AT11" s="129">
        <v>0.2413793103448276</v>
      </c>
      <c r="AU11" s="129">
        <v>0.39080459770114945</v>
      </c>
      <c r="AV11" s="126">
        <v>331</v>
      </c>
      <c r="AW11" s="126">
        <v>454</v>
      </c>
      <c r="AX11" s="133">
        <v>0.42165605095541403</v>
      </c>
      <c r="AY11" s="126">
        <v>20.9</v>
      </c>
      <c r="AZ11" s="126">
        <v>118</v>
      </c>
      <c r="BA11" s="126">
        <v>63</v>
      </c>
      <c r="BB11" s="126">
        <v>39</v>
      </c>
      <c r="BC11" s="126">
        <v>45</v>
      </c>
      <c r="BD11" s="126">
        <v>22</v>
      </c>
      <c r="BE11" s="126">
        <v>31</v>
      </c>
      <c r="BF11" s="127">
        <v>6.8700067923793746</v>
      </c>
      <c r="BG11" s="130">
        <v>3.6678849823720387</v>
      </c>
      <c r="BH11" s="130">
        <v>2.2705954652779288</v>
      </c>
      <c r="BI11" s="130">
        <v>2.6199178445514564</v>
      </c>
      <c r="BJ11" s="130">
        <v>1.2808487240029343</v>
      </c>
      <c r="BK11" s="130">
        <v>1.8048322929132254</v>
      </c>
      <c r="BL11" s="126">
        <v>14</v>
      </c>
      <c r="BM11" s="126">
        <v>7</v>
      </c>
      <c r="BN11" s="126">
        <v>0</v>
      </c>
      <c r="BO11" s="126">
        <v>0</v>
      </c>
      <c r="BP11" s="126">
        <v>0</v>
      </c>
      <c r="BQ11" s="126">
        <v>0</v>
      </c>
      <c r="BR11" s="127">
        <v>12.6271</v>
      </c>
      <c r="BS11" s="126">
        <v>1</v>
      </c>
      <c r="BT11" s="126">
        <v>0</v>
      </c>
      <c r="BU11" s="134">
        <v>0</v>
      </c>
      <c r="BV11" s="126">
        <v>0</v>
      </c>
      <c r="BW11" s="126">
        <v>4</v>
      </c>
      <c r="BX11" s="126">
        <v>17</v>
      </c>
      <c r="BY11" s="126">
        <v>1</v>
      </c>
      <c r="BZ11" s="126">
        <v>1</v>
      </c>
      <c r="CA11" s="126">
        <v>2</v>
      </c>
      <c r="CB11" s="126">
        <v>0</v>
      </c>
      <c r="CC11" s="126">
        <v>0</v>
      </c>
      <c r="CD11" s="126">
        <v>0</v>
      </c>
      <c r="CE11" s="134">
        <v>0</v>
      </c>
      <c r="CF11" s="135">
        <v>6</v>
      </c>
      <c r="CG11" s="126">
        <v>2.4</v>
      </c>
      <c r="CH11" s="126">
        <v>1.4</v>
      </c>
      <c r="CI11" s="126">
        <v>3.8</v>
      </c>
      <c r="CJ11" s="136">
        <v>6.0317460317460311E-2</v>
      </c>
      <c r="CK11" s="136">
        <v>0.22123750687323407</v>
      </c>
      <c r="CL11" s="126">
        <v>22.4</v>
      </c>
      <c r="CM11" s="126">
        <v>19.100000000000001</v>
      </c>
      <c r="CN11" s="126">
        <v>11.1</v>
      </c>
      <c r="CO11" s="126">
        <v>3.8</v>
      </c>
      <c r="CP11" s="126">
        <v>2.1</v>
      </c>
      <c r="CQ11" s="126">
        <v>-0.30000000000000004</v>
      </c>
      <c r="CR11" s="126">
        <v>5.6</v>
      </c>
      <c r="CS11" s="137">
        <v>8.8888888888888878E-2</v>
      </c>
      <c r="CT11" s="137">
        <v>0.32603422065529231</v>
      </c>
      <c r="CU11" s="126"/>
      <c r="CV11" s="126"/>
      <c r="CW11" s="126"/>
      <c r="CX11" s="126">
        <v>19</v>
      </c>
      <c r="CY11" s="126" t="s">
        <v>187</v>
      </c>
      <c r="CZ11" s="126">
        <v>1563333</v>
      </c>
      <c r="DA11" s="126"/>
      <c r="DB11" s="138">
        <v>2.8546347317073169</v>
      </c>
    </row>
    <row r="12" spans="1:106" x14ac:dyDescent="0.25">
      <c r="A12" s="139">
        <v>47</v>
      </c>
      <c r="B12" s="139" t="s">
        <v>188</v>
      </c>
      <c r="C12" s="139" t="s">
        <v>189</v>
      </c>
      <c r="D12" s="139"/>
      <c r="E12" s="139" t="s">
        <v>190</v>
      </c>
      <c r="F12" s="139">
        <v>75</v>
      </c>
      <c r="G12" s="139">
        <v>197</v>
      </c>
      <c r="H12" s="139" t="s">
        <v>117</v>
      </c>
      <c r="I12" s="139">
        <v>2012</v>
      </c>
      <c r="J12" s="139">
        <v>1</v>
      </c>
      <c r="K12" s="139">
        <v>6</v>
      </c>
      <c r="L12" s="139" t="s">
        <v>108</v>
      </c>
      <c r="M12" s="139">
        <v>20</v>
      </c>
      <c r="N12" s="139" t="s">
        <v>191</v>
      </c>
      <c r="O12" s="141" t="s">
        <v>192</v>
      </c>
      <c r="P12" s="141" t="s">
        <v>193</v>
      </c>
      <c r="Q12" s="139" t="s">
        <v>194</v>
      </c>
      <c r="R12" s="139"/>
      <c r="S12" s="139"/>
      <c r="T12" s="141" t="s">
        <v>138</v>
      </c>
      <c r="U12" s="139">
        <v>78</v>
      </c>
      <c r="V12" s="139">
        <v>6</v>
      </c>
      <c r="W12" s="139">
        <v>24</v>
      </c>
      <c r="X12" s="139">
        <v>30</v>
      </c>
      <c r="Y12" s="1298">
        <f t="shared" si="0"/>
        <v>0.38461538461538464</v>
      </c>
      <c r="Z12" s="1298" t="s">
        <v>668</v>
      </c>
      <c r="AA12" s="1298">
        <f>11/44</f>
        <v>0.25</v>
      </c>
      <c r="AB12" s="139">
        <v>29</v>
      </c>
      <c r="AC12" s="139">
        <v>116</v>
      </c>
      <c r="AD12" s="139">
        <v>32</v>
      </c>
      <c r="AE12" s="139">
        <v>78</v>
      </c>
      <c r="AF12" s="142">
        <v>5.1724137931034482E-2</v>
      </c>
      <c r="AG12" s="142">
        <v>2.6548672566371681E-2</v>
      </c>
      <c r="AH12" s="143">
        <v>45.9</v>
      </c>
      <c r="AI12" s="144">
        <v>75</v>
      </c>
      <c r="AJ12" s="144">
        <v>13</v>
      </c>
      <c r="AK12" s="144">
        <v>26</v>
      </c>
      <c r="AL12" s="140">
        <v>1515.6666666666999</v>
      </c>
      <c r="AM12" s="143">
        <v>19.431623931624358</v>
      </c>
      <c r="AN12" s="139">
        <v>1921</v>
      </c>
      <c r="AO12" s="143">
        <v>24.628205128205128</v>
      </c>
      <c r="AP12" s="145">
        <v>0.78899878535486723</v>
      </c>
      <c r="AQ12" s="144">
        <v>118.091932</v>
      </c>
      <c r="AR12" s="145">
        <v>4.6748510578402316</v>
      </c>
      <c r="AS12" s="142">
        <v>4.3795620437956206E-2</v>
      </c>
      <c r="AT12" s="142">
        <v>0.17518248175182483</v>
      </c>
      <c r="AU12" s="142">
        <v>0.21897810218978103</v>
      </c>
      <c r="AV12" s="139">
        <v>0</v>
      </c>
      <c r="AW12" s="139">
        <v>1</v>
      </c>
      <c r="AX12" s="146">
        <v>0</v>
      </c>
      <c r="AY12" s="139">
        <v>0</v>
      </c>
      <c r="AZ12" s="139">
        <v>113</v>
      </c>
      <c r="BA12" s="139">
        <v>54</v>
      </c>
      <c r="BB12" s="139">
        <v>61</v>
      </c>
      <c r="BC12" s="139">
        <v>32</v>
      </c>
      <c r="BD12" s="139">
        <v>45</v>
      </c>
      <c r="BE12" s="139">
        <v>22</v>
      </c>
      <c r="BF12" s="140">
        <v>4.4732790851109643</v>
      </c>
      <c r="BG12" s="143">
        <v>2.137673191114974</v>
      </c>
      <c r="BH12" s="143">
        <v>2.4147789751483963</v>
      </c>
      <c r="BI12" s="143">
        <v>1.2667692984385031</v>
      </c>
      <c r="BJ12" s="143">
        <v>1.7813943259291449</v>
      </c>
      <c r="BK12" s="143">
        <v>0.87090389267647084</v>
      </c>
      <c r="BL12" s="139">
        <v>36</v>
      </c>
      <c r="BM12" s="139">
        <v>18</v>
      </c>
      <c r="BN12" s="139">
        <v>0</v>
      </c>
      <c r="BO12" s="139">
        <v>0</v>
      </c>
      <c r="BP12" s="139">
        <v>0</v>
      </c>
      <c r="BQ12" s="139">
        <v>0</v>
      </c>
      <c r="BR12" s="140">
        <v>1.2588330000000001</v>
      </c>
      <c r="BS12" s="139"/>
      <c r="BT12" s="139"/>
      <c r="BU12" s="147" t="s">
        <v>139</v>
      </c>
      <c r="BV12" s="139"/>
      <c r="BW12" s="139">
        <v>0</v>
      </c>
      <c r="BX12" s="139">
        <v>17</v>
      </c>
      <c r="BY12" s="139">
        <v>0</v>
      </c>
      <c r="BZ12" s="139">
        <v>0</v>
      </c>
      <c r="CA12" s="139">
        <v>1</v>
      </c>
      <c r="CB12" s="139">
        <v>0</v>
      </c>
      <c r="CC12" s="139">
        <v>0</v>
      </c>
      <c r="CD12" s="139">
        <v>0</v>
      </c>
      <c r="CE12" s="147">
        <v>0</v>
      </c>
      <c r="CF12" s="148">
        <v>3</v>
      </c>
      <c r="CG12" s="139">
        <v>2.2000000000000002</v>
      </c>
      <c r="CH12" s="139">
        <v>4.4000000000000004</v>
      </c>
      <c r="CI12" s="139">
        <v>6.6</v>
      </c>
      <c r="CJ12" s="149">
        <v>8.4615384615384606E-2</v>
      </c>
      <c r="CK12" s="149">
        <v>0.26127116780294124</v>
      </c>
      <c r="CL12" s="139">
        <v>34.6</v>
      </c>
      <c r="CM12" s="139">
        <v>31.4</v>
      </c>
      <c r="CN12" s="139">
        <v>12.5</v>
      </c>
      <c r="CO12" s="139">
        <v>3.6</v>
      </c>
      <c r="CP12" s="139">
        <v>4.7</v>
      </c>
      <c r="CQ12" s="139">
        <v>0</v>
      </c>
      <c r="CR12" s="139">
        <v>8.3000000000000007</v>
      </c>
      <c r="CS12" s="150">
        <v>0.10641025641025642</v>
      </c>
      <c r="CT12" s="150">
        <v>0.32856828678248678</v>
      </c>
      <c r="CU12" s="139"/>
      <c r="CV12" s="139"/>
      <c r="CW12" s="139"/>
      <c r="CX12" s="139"/>
      <c r="CY12" s="139"/>
      <c r="CZ12" s="139">
        <v>1744167</v>
      </c>
      <c r="DA12" s="139"/>
      <c r="DB12" s="151">
        <v>5.2370725853658548</v>
      </c>
    </row>
    <row r="13" spans="1:106" x14ac:dyDescent="0.25">
      <c r="A13" s="152">
        <v>38</v>
      </c>
      <c r="B13" s="152" t="s">
        <v>195</v>
      </c>
      <c r="C13" s="152" t="s">
        <v>196</v>
      </c>
      <c r="D13" s="152" t="s">
        <v>168</v>
      </c>
      <c r="E13" s="152" t="s">
        <v>106</v>
      </c>
      <c r="F13" s="152">
        <v>74</v>
      </c>
      <c r="G13" s="152">
        <v>208</v>
      </c>
      <c r="H13" s="152" t="s">
        <v>117</v>
      </c>
      <c r="I13" s="152">
        <v>2011</v>
      </c>
      <c r="J13" s="152">
        <v>2</v>
      </c>
      <c r="K13" s="152">
        <v>37</v>
      </c>
      <c r="L13" s="152" t="s">
        <v>108</v>
      </c>
      <c r="M13" s="152">
        <v>20</v>
      </c>
      <c r="N13" s="152" t="s">
        <v>197</v>
      </c>
      <c r="O13" s="154" t="s">
        <v>198</v>
      </c>
      <c r="P13" s="154" t="s">
        <v>199</v>
      </c>
      <c r="Q13" s="152" t="s">
        <v>200</v>
      </c>
      <c r="R13" s="152"/>
      <c r="S13" s="152"/>
      <c r="T13" s="154" t="s">
        <v>113</v>
      </c>
      <c r="U13" s="152">
        <v>72</v>
      </c>
      <c r="V13" s="152">
        <v>16</v>
      </c>
      <c r="W13" s="152">
        <v>13</v>
      </c>
      <c r="X13" s="152">
        <v>29</v>
      </c>
      <c r="Y13" s="1298">
        <f t="shared" si="0"/>
        <v>0.40277777777777779</v>
      </c>
      <c r="Z13" s="1298" t="s">
        <v>670</v>
      </c>
      <c r="AA13" s="1298">
        <f>82/56</f>
        <v>1.4642857142857142</v>
      </c>
      <c r="AB13" s="152">
        <v>6</v>
      </c>
      <c r="AC13" s="152">
        <v>127</v>
      </c>
      <c r="AD13" s="152">
        <v>46</v>
      </c>
      <c r="AE13" s="152">
        <v>44</v>
      </c>
      <c r="AF13" s="155">
        <v>0.12598425196850394</v>
      </c>
      <c r="AG13" s="155">
        <v>7.3732718894009217E-2</v>
      </c>
      <c r="AH13" s="156">
        <v>25.7</v>
      </c>
      <c r="AI13" s="157">
        <v>67</v>
      </c>
      <c r="AJ13" s="157">
        <v>10</v>
      </c>
      <c r="AK13" s="157">
        <v>12</v>
      </c>
      <c r="AL13" s="153">
        <v>1013.7166666667</v>
      </c>
      <c r="AM13" s="156">
        <v>14.079398148148611</v>
      </c>
      <c r="AN13" s="152">
        <v>1336</v>
      </c>
      <c r="AO13" s="156">
        <v>18.555555555555557</v>
      </c>
      <c r="AP13" s="158">
        <v>0.7587699600798653</v>
      </c>
      <c r="AQ13" s="157">
        <v>100.78749999999999</v>
      </c>
      <c r="AR13" s="158">
        <v>5.9654242638473614</v>
      </c>
      <c r="AS13" s="155">
        <v>0.15094339622641509</v>
      </c>
      <c r="AT13" s="155">
        <v>0.12264150943396226</v>
      </c>
      <c r="AU13" s="155">
        <v>0.27358490566037735</v>
      </c>
      <c r="AV13" s="152">
        <v>14</v>
      </c>
      <c r="AW13" s="152">
        <v>16</v>
      </c>
      <c r="AX13" s="159">
        <v>0.46666666666666667</v>
      </c>
      <c r="AY13" s="152">
        <v>0.7</v>
      </c>
      <c r="AZ13" s="152">
        <v>93</v>
      </c>
      <c r="BA13" s="152">
        <v>212</v>
      </c>
      <c r="BB13" s="152">
        <v>37</v>
      </c>
      <c r="BC13" s="152">
        <v>46</v>
      </c>
      <c r="BD13" s="152">
        <v>26</v>
      </c>
      <c r="BE13" s="152">
        <v>28</v>
      </c>
      <c r="BF13" s="153">
        <v>5.5044966542260161</v>
      </c>
      <c r="BG13" s="156">
        <v>12.547884846192639</v>
      </c>
      <c r="BH13" s="156">
        <v>2.1899610344770171</v>
      </c>
      <c r="BI13" s="156">
        <v>2.7226542590795351</v>
      </c>
      <c r="BJ13" s="156">
        <v>1.5388915377406067</v>
      </c>
      <c r="BK13" s="156">
        <v>1.6572678098744995</v>
      </c>
      <c r="BL13" s="152">
        <v>45</v>
      </c>
      <c r="BM13" s="152">
        <v>19</v>
      </c>
      <c r="BN13" s="152">
        <v>1</v>
      </c>
      <c r="BO13" s="152">
        <v>0</v>
      </c>
      <c r="BP13" s="152">
        <v>0</v>
      </c>
      <c r="BQ13" s="152">
        <v>0</v>
      </c>
      <c r="BR13" s="153">
        <v>7.4175389999999997</v>
      </c>
      <c r="BS13" s="152"/>
      <c r="BT13" s="152"/>
      <c r="BU13" s="160" t="s">
        <v>139</v>
      </c>
      <c r="BV13" s="152"/>
      <c r="BW13" s="152">
        <v>5</v>
      </c>
      <c r="BX13" s="152">
        <v>12</v>
      </c>
      <c r="BY13" s="152">
        <v>0</v>
      </c>
      <c r="BZ13" s="152">
        <v>0</v>
      </c>
      <c r="CA13" s="152">
        <v>5</v>
      </c>
      <c r="CB13" s="152">
        <v>0</v>
      </c>
      <c r="CC13" s="152">
        <v>1</v>
      </c>
      <c r="CD13" s="152">
        <v>1</v>
      </c>
      <c r="CE13" s="160">
        <v>1</v>
      </c>
      <c r="CF13" s="161">
        <v>4</v>
      </c>
      <c r="CG13" s="152">
        <v>2.2999999999999998</v>
      </c>
      <c r="CH13" s="152">
        <v>1.4</v>
      </c>
      <c r="CI13" s="152">
        <v>3.6</v>
      </c>
      <c r="CJ13" s="162">
        <v>0.05</v>
      </c>
      <c r="CK13" s="162">
        <v>0.21307728984100707</v>
      </c>
      <c r="CL13" s="152">
        <v>18.8</v>
      </c>
      <c r="CM13" s="152">
        <v>16.399999999999999</v>
      </c>
      <c r="CN13" s="152">
        <v>6.3</v>
      </c>
      <c r="CO13" s="152">
        <v>4.4000000000000004</v>
      </c>
      <c r="CP13" s="152">
        <v>1.9</v>
      </c>
      <c r="CQ13" s="152">
        <v>0</v>
      </c>
      <c r="CR13" s="152">
        <v>6.3</v>
      </c>
      <c r="CS13" s="163">
        <v>8.7499999999999994E-2</v>
      </c>
      <c r="CT13" s="163">
        <v>0.37288525722176236</v>
      </c>
      <c r="CU13" s="152"/>
      <c r="CV13" s="152"/>
      <c r="CW13" s="152"/>
      <c r="CX13" s="152">
        <v>9</v>
      </c>
      <c r="CY13" s="152" t="s">
        <v>201</v>
      </c>
      <c r="CZ13" s="152">
        <v>894167</v>
      </c>
      <c r="DA13" s="152"/>
      <c r="DB13" s="164">
        <v>4.7297555121951218</v>
      </c>
    </row>
    <row r="14" spans="1:106" x14ac:dyDescent="0.25">
      <c r="A14" s="165">
        <v>73</v>
      </c>
      <c r="B14" s="165" t="s">
        <v>202</v>
      </c>
      <c r="C14" s="165" t="s">
        <v>203</v>
      </c>
      <c r="D14" s="165" t="s">
        <v>168</v>
      </c>
      <c r="E14" s="165" t="s">
        <v>106</v>
      </c>
      <c r="F14" s="165">
        <v>73</v>
      </c>
      <c r="G14" s="165">
        <v>196</v>
      </c>
      <c r="H14" s="165" t="s">
        <v>107</v>
      </c>
      <c r="I14" s="165">
        <v>2010</v>
      </c>
      <c r="J14" s="165">
        <v>2</v>
      </c>
      <c r="K14" s="165">
        <v>47</v>
      </c>
      <c r="L14" s="165" t="s">
        <v>108</v>
      </c>
      <c r="M14" s="165">
        <v>21</v>
      </c>
      <c r="N14" s="165" t="s">
        <v>204</v>
      </c>
      <c r="O14" s="167" t="s">
        <v>129</v>
      </c>
      <c r="P14" s="167" t="s">
        <v>205</v>
      </c>
      <c r="Q14" s="165" t="s">
        <v>206</v>
      </c>
      <c r="R14" s="165"/>
      <c r="S14" s="165"/>
      <c r="T14" s="167" t="s">
        <v>207</v>
      </c>
      <c r="U14" s="165">
        <v>62</v>
      </c>
      <c r="V14" s="165">
        <v>12</v>
      </c>
      <c r="W14" s="165">
        <v>17</v>
      </c>
      <c r="X14" s="165">
        <v>29</v>
      </c>
      <c r="Y14" s="1298">
        <f t="shared" si="0"/>
        <v>0.46774193548387094</v>
      </c>
      <c r="Z14" s="1298" t="s">
        <v>668</v>
      </c>
      <c r="AA14" s="1298">
        <f>51/58</f>
        <v>0.87931034482758619</v>
      </c>
      <c r="AB14" s="165">
        <v>21</v>
      </c>
      <c r="AC14" s="165">
        <v>124</v>
      </c>
      <c r="AD14" s="165">
        <v>56</v>
      </c>
      <c r="AE14" s="165">
        <v>56</v>
      </c>
      <c r="AF14" s="168">
        <v>9.6774193548387094E-2</v>
      </c>
      <c r="AG14" s="168">
        <v>5.0847457627118647E-2</v>
      </c>
      <c r="AH14" s="169">
        <v>34.799999999999997</v>
      </c>
      <c r="AI14" s="170">
        <v>80</v>
      </c>
      <c r="AJ14" s="170">
        <v>18</v>
      </c>
      <c r="AK14" s="170">
        <v>15</v>
      </c>
      <c r="AL14" s="166">
        <v>803.61666666669998</v>
      </c>
      <c r="AM14" s="169">
        <v>12.961559139785484</v>
      </c>
      <c r="AN14" s="165">
        <v>1102</v>
      </c>
      <c r="AO14" s="169">
        <v>17.774193548387096</v>
      </c>
      <c r="AP14" s="171">
        <v>0.72923472474292195</v>
      </c>
      <c r="AQ14" s="170">
        <v>91.751613000000006</v>
      </c>
      <c r="AR14" s="171">
        <v>6.8504014517698391</v>
      </c>
      <c r="AS14" s="168">
        <v>0.14814814814814814</v>
      </c>
      <c r="AT14" s="168">
        <v>0.20987654320987653</v>
      </c>
      <c r="AU14" s="168">
        <v>0.35802469135802467</v>
      </c>
      <c r="AV14" s="165">
        <v>2</v>
      </c>
      <c r="AW14" s="165">
        <v>7</v>
      </c>
      <c r="AX14" s="172">
        <v>0.22222222222222221</v>
      </c>
      <c r="AY14" s="165">
        <v>0.2</v>
      </c>
      <c r="AZ14" s="165">
        <v>67</v>
      </c>
      <c r="BA14" s="165">
        <v>57</v>
      </c>
      <c r="BB14" s="165">
        <v>8</v>
      </c>
      <c r="BC14" s="165">
        <v>56</v>
      </c>
      <c r="BD14" s="165">
        <v>25</v>
      </c>
      <c r="BE14" s="165">
        <v>23</v>
      </c>
      <c r="BF14" s="166">
        <v>5.0023850509154446</v>
      </c>
      <c r="BG14" s="169">
        <v>4.2557604164504532</v>
      </c>
      <c r="BH14" s="169">
        <v>0.59729970757199347</v>
      </c>
      <c r="BI14" s="169">
        <v>4.1810979530039543</v>
      </c>
      <c r="BJ14" s="169">
        <v>1.8665615861624794</v>
      </c>
      <c r="BK14" s="169">
        <v>1.717236659269481</v>
      </c>
      <c r="BL14" s="165">
        <v>10</v>
      </c>
      <c r="BM14" s="165">
        <v>5</v>
      </c>
      <c r="BN14" s="165">
        <v>0</v>
      </c>
      <c r="BO14" s="165">
        <v>0</v>
      </c>
      <c r="BP14" s="165">
        <v>0</v>
      </c>
      <c r="BQ14" s="165">
        <v>0</v>
      </c>
      <c r="BR14" s="166">
        <v>1.9324919999999999</v>
      </c>
      <c r="BS14" s="165">
        <v>1</v>
      </c>
      <c r="BT14" s="165">
        <v>0</v>
      </c>
      <c r="BU14" s="173">
        <v>0</v>
      </c>
      <c r="BV14" s="165">
        <v>0</v>
      </c>
      <c r="BW14" s="165">
        <v>1</v>
      </c>
      <c r="BX14" s="165">
        <v>13</v>
      </c>
      <c r="BY14" s="165">
        <v>0</v>
      </c>
      <c r="BZ14" s="165">
        <v>0</v>
      </c>
      <c r="CA14" s="165">
        <v>5</v>
      </c>
      <c r="CB14" s="165">
        <v>1</v>
      </c>
      <c r="CC14" s="165">
        <v>0</v>
      </c>
      <c r="CD14" s="165">
        <v>0</v>
      </c>
      <c r="CE14" s="173">
        <v>0</v>
      </c>
      <c r="CF14" s="174">
        <v>2</v>
      </c>
      <c r="CG14" s="165">
        <v>2.4</v>
      </c>
      <c r="CH14" s="165">
        <v>1.9</v>
      </c>
      <c r="CI14" s="165">
        <v>4.3</v>
      </c>
      <c r="CJ14" s="175">
        <v>6.9354838709677416E-2</v>
      </c>
      <c r="CK14" s="175">
        <v>0.32104859281994641</v>
      </c>
      <c r="CL14" s="165">
        <v>17.5</v>
      </c>
      <c r="CM14" s="165">
        <v>14.4</v>
      </c>
      <c r="CN14" s="165">
        <v>16.600000000000001</v>
      </c>
      <c r="CO14" s="165">
        <v>4.3</v>
      </c>
      <c r="CP14" s="165">
        <v>3.5</v>
      </c>
      <c r="CQ14" s="165">
        <v>-0.30000000000000004</v>
      </c>
      <c r="CR14" s="165">
        <v>7.5</v>
      </c>
      <c r="CS14" s="176">
        <v>0.12096774193548387</v>
      </c>
      <c r="CT14" s="176">
        <v>0.55996847584874376</v>
      </c>
      <c r="CU14" s="165"/>
      <c r="CV14" s="165"/>
      <c r="CW14" s="165"/>
      <c r="CX14" s="165"/>
      <c r="CY14" s="165"/>
      <c r="CZ14" s="165">
        <v>870000</v>
      </c>
      <c r="DA14" s="165"/>
      <c r="DB14" s="177">
        <v>5.9721951219512199</v>
      </c>
    </row>
    <row r="15" spans="1:106" x14ac:dyDescent="0.25">
      <c r="A15" s="178">
        <v>62</v>
      </c>
      <c r="B15" s="178" t="s">
        <v>208</v>
      </c>
      <c r="C15" s="178" t="s">
        <v>209</v>
      </c>
      <c r="D15" s="178" t="s">
        <v>210</v>
      </c>
      <c r="E15" s="178" t="s">
        <v>127</v>
      </c>
      <c r="F15" s="178">
        <v>75</v>
      </c>
      <c r="G15" s="178">
        <v>230</v>
      </c>
      <c r="H15" s="178" t="s">
        <v>117</v>
      </c>
      <c r="I15" s="178">
        <v>2007</v>
      </c>
      <c r="J15" s="178">
        <v>6</v>
      </c>
      <c r="K15" s="178">
        <v>161</v>
      </c>
      <c r="L15" s="178" t="s">
        <v>108</v>
      </c>
      <c r="M15" s="178">
        <v>25</v>
      </c>
      <c r="N15" s="178" t="s">
        <v>211</v>
      </c>
      <c r="O15" s="180" t="s">
        <v>212</v>
      </c>
      <c r="P15" s="180" t="s">
        <v>213</v>
      </c>
      <c r="Q15" s="178" t="s">
        <v>194</v>
      </c>
      <c r="R15" s="178"/>
      <c r="S15" s="178"/>
      <c r="T15" s="180" t="s">
        <v>122</v>
      </c>
      <c r="U15" s="178">
        <v>62</v>
      </c>
      <c r="V15" s="178">
        <v>11</v>
      </c>
      <c r="W15" s="178">
        <v>18</v>
      </c>
      <c r="X15" s="178">
        <v>29</v>
      </c>
      <c r="Y15" s="1298">
        <f t="shared" si="0"/>
        <v>0.46774193548387094</v>
      </c>
      <c r="Z15" s="1298" t="s">
        <v>668</v>
      </c>
      <c r="AA15" s="1298">
        <f>50/64</f>
        <v>0.78125</v>
      </c>
      <c r="AB15" s="178">
        <v>11</v>
      </c>
      <c r="AC15" s="178">
        <v>93</v>
      </c>
      <c r="AD15" s="178">
        <v>40</v>
      </c>
      <c r="AE15" s="178">
        <v>34</v>
      </c>
      <c r="AF15" s="181">
        <v>0.11827956989247312</v>
      </c>
      <c r="AG15" s="181">
        <v>6.5868263473053898E-2</v>
      </c>
      <c r="AH15" s="182">
        <v>22.8</v>
      </c>
      <c r="AI15" s="183">
        <v>44</v>
      </c>
      <c r="AJ15" s="183">
        <v>9</v>
      </c>
      <c r="AK15" s="183">
        <v>10</v>
      </c>
      <c r="AL15" s="179">
        <v>763.4</v>
      </c>
      <c r="AM15" s="182">
        <v>12.312903225806451</v>
      </c>
      <c r="AN15" s="178">
        <v>971</v>
      </c>
      <c r="AO15" s="182">
        <v>15.661290322580646</v>
      </c>
      <c r="AP15" s="184">
        <v>0.78619979402677653</v>
      </c>
      <c r="AQ15" s="183">
        <v>117.10101</v>
      </c>
      <c r="AR15" s="184">
        <v>9.2036423893109784</v>
      </c>
      <c r="AS15" s="181">
        <v>9.6491228070175433E-2</v>
      </c>
      <c r="AT15" s="181">
        <v>0.15789473684210525</v>
      </c>
      <c r="AU15" s="181">
        <v>0.25438596491228072</v>
      </c>
      <c r="AV15" s="178">
        <v>7</v>
      </c>
      <c r="AW15" s="178">
        <v>8</v>
      </c>
      <c r="AX15" s="185">
        <v>0.46666666666666667</v>
      </c>
      <c r="AY15" s="178">
        <v>0.30000000000000004</v>
      </c>
      <c r="AZ15" s="178">
        <v>119</v>
      </c>
      <c r="BA15" s="178">
        <v>124</v>
      </c>
      <c r="BB15" s="178">
        <v>16</v>
      </c>
      <c r="BC15" s="178">
        <v>40</v>
      </c>
      <c r="BD15" s="178">
        <v>15</v>
      </c>
      <c r="BE15" s="178">
        <v>15</v>
      </c>
      <c r="BF15" s="179">
        <v>9.3528949436730411</v>
      </c>
      <c r="BG15" s="182">
        <v>9.7458737228189669</v>
      </c>
      <c r="BH15" s="182">
        <v>1.2575320932669638</v>
      </c>
      <c r="BI15" s="182">
        <v>3.1438302331674093</v>
      </c>
      <c r="BJ15" s="182">
        <v>1.1789363374377784</v>
      </c>
      <c r="BK15" s="182">
        <v>1.1789363374377784</v>
      </c>
      <c r="BL15" s="178">
        <v>101</v>
      </c>
      <c r="BM15" s="178">
        <v>7</v>
      </c>
      <c r="BN15" s="178">
        <v>13</v>
      </c>
      <c r="BO15" s="178">
        <v>1</v>
      </c>
      <c r="BP15" s="178">
        <v>1</v>
      </c>
      <c r="BQ15" s="178">
        <v>0</v>
      </c>
      <c r="BR15" s="179">
        <v>4.0457470000000004</v>
      </c>
      <c r="BS15" s="178"/>
      <c r="BT15" s="178"/>
      <c r="BU15" s="186" t="s">
        <v>139</v>
      </c>
      <c r="BV15" s="178"/>
      <c r="BW15" s="178">
        <v>3</v>
      </c>
      <c r="BX15" s="178">
        <v>11</v>
      </c>
      <c r="BY15" s="178">
        <v>0</v>
      </c>
      <c r="BZ15" s="178">
        <v>0</v>
      </c>
      <c r="CA15" s="178">
        <v>3</v>
      </c>
      <c r="CB15" s="178">
        <v>0</v>
      </c>
      <c r="CC15" s="178">
        <v>0</v>
      </c>
      <c r="CD15" s="178">
        <v>0</v>
      </c>
      <c r="CE15" s="186">
        <v>0</v>
      </c>
      <c r="CF15" s="187">
        <v>4</v>
      </c>
      <c r="CG15" s="178">
        <v>2.4</v>
      </c>
      <c r="CH15" s="178">
        <v>1</v>
      </c>
      <c r="CI15" s="178">
        <v>3.4</v>
      </c>
      <c r="CJ15" s="188">
        <v>5.4838709677419356E-2</v>
      </c>
      <c r="CK15" s="188">
        <v>0.26722556981922979</v>
      </c>
      <c r="CL15" s="178">
        <v>18.100000000000001</v>
      </c>
      <c r="CM15" s="178">
        <v>14.6</v>
      </c>
      <c r="CN15" s="178">
        <v>4.8</v>
      </c>
      <c r="CO15" s="178">
        <v>3.9</v>
      </c>
      <c r="CP15" s="178">
        <v>1.6</v>
      </c>
      <c r="CQ15" s="178">
        <v>0</v>
      </c>
      <c r="CR15" s="178">
        <v>5.4</v>
      </c>
      <c r="CS15" s="189">
        <v>8.7096774193548387E-2</v>
      </c>
      <c r="CT15" s="189">
        <v>0.42441708147760027</v>
      </c>
      <c r="CU15" s="178"/>
      <c r="CV15" s="178"/>
      <c r="CW15" s="178"/>
      <c r="CX15" s="178"/>
      <c r="CY15" s="178"/>
      <c r="CZ15" s="178">
        <v>575000</v>
      </c>
      <c r="DA15" s="178"/>
      <c r="DB15" s="190">
        <v>4.3902439024390247</v>
      </c>
    </row>
    <row r="16" spans="1:106" x14ac:dyDescent="0.25">
      <c r="A16" s="191">
        <v>8</v>
      </c>
      <c r="B16" s="191" t="s">
        <v>214</v>
      </c>
      <c r="C16" s="191" t="s">
        <v>215</v>
      </c>
      <c r="D16" s="191" t="s">
        <v>133</v>
      </c>
      <c r="E16" s="191" t="s">
        <v>127</v>
      </c>
      <c r="F16" s="191">
        <v>74</v>
      </c>
      <c r="G16" s="191">
        <v>187</v>
      </c>
      <c r="H16" s="191" t="s">
        <v>107</v>
      </c>
      <c r="I16" s="191">
        <v>2012</v>
      </c>
      <c r="J16" s="191">
        <v>1</v>
      </c>
      <c r="K16" s="191">
        <v>9</v>
      </c>
      <c r="L16" s="191" t="s">
        <v>108</v>
      </c>
      <c r="M16" s="191">
        <v>19</v>
      </c>
      <c r="N16" s="191" t="s">
        <v>216</v>
      </c>
      <c r="O16" s="193" t="s">
        <v>217</v>
      </c>
      <c r="P16" s="193" t="s">
        <v>218</v>
      </c>
      <c r="Q16" s="191" t="s">
        <v>186</v>
      </c>
      <c r="R16" s="191"/>
      <c r="S16" s="191"/>
      <c r="T16" s="193" t="s">
        <v>138</v>
      </c>
      <c r="U16" s="191">
        <v>65</v>
      </c>
      <c r="V16" s="191">
        <v>10</v>
      </c>
      <c r="W16" s="191">
        <v>19</v>
      </c>
      <c r="X16" s="191">
        <v>29</v>
      </c>
      <c r="Y16" s="1298">
        <f t="shared" si="0"/>
        <v>0.44615384615384618</v>
      </c>
      <c r="Z16" s="1298" t="s">
        <v>669</v>
      </c>
      <c r="AA16" s="1298">
        <f>29/37</f>
        <v>0.78378378378378377</v>
      </c>
      <c r="AB16" s="191">
        <v>4</v>
      </c>
      <c r="AC16" s="191">
        <v>121</v>
      </c>
      <c r="AD16" s="191">
        <v>66</v>
      </c>
      <c r="AE16" s="191">
        <v>106</v>
      </c>
      <c r="AF16" s="194">
        <v>8.2644628099173556E-2</v>
      </c>
      <c r="AG16" s="194">
        <v>3.4129692832764506E-2</v>
      </c>
      <c r="AH16" s="195">
        <v>45.8</v>
      </c>
      <c r="AI16" s="196">
        <v>49</v>
      </c>
      <c r="AJ16" s="196">
        <v>12</v>
      </c>
      <c r="AK16" s="196">
        <v>42</v>
      </c>
      <c r="AL16" s="192">
        <v>1458.3</v>
      </c>
      <c r="AM16" s="195">
        <v>22.435384615384613</v>
      </c>
      <c r="AN16" s="191">
        <v>1754</v>
      </c>
      <c r="AO16" s="195">
        <v>26.984615384615385</v>
      </c>
      <c r="AP16" s="197">
        <v>0.83141391106043327</v>
      </c>
      <c r="AQ16" s="196">
        <v>74.562263999999999</v>
      </c>
      <c r="AR16" s="197">
        <v>3.0677746965644928</v>
      </c>
      <c r="AS16" s="194">
        <v>0.12195121951219512</v>
      </c>
      <c r="AT16" s="194">
        <v>0.23170731707317074</v>
      </c>
      <c r="AU16" s="194">
        <v>0.35365853658536583</v>
      </c>
      <c r="AV16" s="191">
        <v>0</v>
      </c>
      <c r="AW16" s="191">
        <v>0</v>
      </c>
      <c r="AX16" s="198">
        <v>0</v>
      </c>
      <c r="AY16" s="191">
        <v>0</v>
      </c>
      <c r="AZ16" s="191">
        <v>93</v>
      </c>
      <c r="BA16" s="191">
        <v>95</v>
      </c>
      <c r="BB16" s="191">
        <v>132</v>
      </c>
      <c r="BC16" s="191">
        <v>66</v>
      </c>
      <c r="BD16" s="191">
        <v>88</v>
      </c>
      <c r="BE16" s="191">
        <v>31</v>
      </c>
      <c r="BF16" s="192">
        <v>3.8263731742439826</v>
      </c>
      <c r="BG16" s="195">
        <v>3.908660769389015</v>
      </c>
      <c r="BH16" s="195">
        <v>5.4309812795721042</v>
      </c>
      <c r="BI16" s="195">
        <v>2.7154906397860521</v>
      </c>
      <c r="BJ16" s="195">
        <v>3.6206541863814032</v>
      </c>
      <c r="BK16" s="195">
        <v>1.2754577247479943</v>
      </c>
      <c r="BL16" s="191">
        <v>43</v>
      </c>
      <c r="BM16" s="191">
        <v>14</v>
      </c>
      <c r="BN16" s="191">
        <v>1</v>
      </c>
      <c r="BO16" s="191">
        <v>1</v>
      </c>
      <c r="BP16" s="191">
        <v>0</v>
      </c>
      <c r="BQ16" s="191">
        <v>0</v>
      </c>
      <c r="BR16" s="192">
        <v>13.320494</v>
      </c>
      <c r="BS16" s="191"/>
      <c r="BT16" s="191"/>
      <c r="BU16" s="199" t="s">
        <v>139</v>
      </c>
      <c r="BV16" s="191"/>
      <c r="BW16" s="191">
        <v>3</v>
      </c>
      <c r="BX16" s="191">
        <v>15</v>
      </c>
      <c r="BY16" s="191">
        <v>1</v>
      </c>
      <c r="BZ16" s="191">
        <v>0</v>
      </c>
      <c r="CA16" s="191">
        <v>1</v>
      </c>
      <c r="CB16" s="191">
        <v>0</v>
      </c>
      <c r="CC16" s="191">
        <v>0</v>
      </c>
      <c r="CD16" s="191">
        <v>0</v>
      </c>
      <c r="CE16" s="199">
        <v>0</v>
      </c>
      <c r="CF16" s="200">
        <v>8</v>
      </c>
      <c r="CG16" s="191">
        <v>2.6</v>
      </c>
      <c r="CH16" s="191">
        <v>3.3</v>
      </c>
      <c r="CI16" s="191">
        <v>5.9</v>
      </c>
      <c r="CJ16" s="201">
        <v>9.0769230769230769E-2</v>
      </c>
      <c r="CK16" s="201">
        <v>0.24274840567784411</v>
      </c>
      <c r="CL16" s="191">
        <v>29.7</v>
      </c>
      <c r="CM16" s="191">
        <v>34.700000000000003</v>
      </c>
      <c r="CN16" s="191">
        <v>4.3</v>
      </c>
      <c r="CO16" s="191">
        <v>4.9000000000000004</v>
      </c>
      <c r="CP16" s="191">
        <v>4.2</v>
      </c>
      <c r="CQ16" s="191">
        <v>0</v>
      </c>
      <c r="CR16" s="191">
        <v>9.1</v>
      </c>
      <c r="CS16" s="202">
        <v>0.13999999999999999</v>
      </c>
      <c r="CT16" s="202">
        <v>0.37440855790989508</v>
      </c>
      <c r="CU16" s="191"/>
      <c r="CV16" s="191"/>
      <c r="CW16" s="191"/>
      <c r="CX16" s="191">
        <v>17</v>
      </c>
      <c r="CY16" s="191" t="s">
        <v>123</v>
      </c>
      <c r="CZ16" s="191">
        <v>1827500</v>
      </c>
      <c r="DA16" s="191"/>
      <c r="DB16" s="203">
        <v>5.8907317073170731</v>
      </c>
    </row>
    <row r="17" spans="1:106" x14ac:dyDescent="0.25">
      <c r="A17" s="204">
        <v>3</v>
      </c>
      <c r="B17" s="204" t="s">
        <v>219</v>
      </c>
      <c r="C17" s="204" t="s">
        <v>220</v>
      </c>
      <c r="D17" s="204"/>
      <c r="E17" s="204" t="s">
        <v>221</v>
      </c>
      <c r="F17" s="204">
        <v>74</v>
      </c>
      <c r="G17" s="204">
        <v>206</v>
      </c>
      <c r="H17" s="204" t="s">
        <v>117</v>
      </c>
      <c r="I17" s="204">
        <v>2012</v>
      </c>
      <c r="J17" s="204">
        <v>1</v>
      </c>
      <c r="K17" s="204">
        <v>22</v>
      </c>
      <c r="L17" s="204" t="s">
        <v>108</v>
      </c>
      <c r="M17" s="204">
        <v>19</v>
      </c>
      <c r="N17" s="204" t="s">
        <v>222</v>
      </c>
      <c r="O17" s="206" t="s">
        <v>223</v>
      </c>
      <c r="P17" s="206" t="s">
        <v>224</v>
      </c>
      <c r="Q17" s="204" t="s">
        <v>225</v>
      </c>
      <c r="R17" s="204"/>
      <c r="S17" s="204"/>
      <c r="T17" s="206" t="s">
        <v>138</v>
      </c>
      <c r="U17" s="204">
        <v>78</v>
      </c>
      <c r="V17" s="204">
        <v>9</v>
      </c>
      <c r="W17" s="204">
        <v>20</v>
      </c>
      <c r="X17" s="204">
        <v>29</v>
      </c>
      <c r="Y17" s="1298">
        <f t="shared" si="0"/>
        <v>0.37179487179487181</v>
      </c>
      <c r="Z17" s="1298" t="s">
        <v>670</v>
      </c>
      <c r="AA17" s="1298">
        <f>38/57</f>
        <v>0.66666666666666663</v>
      </c>
      <c r="AB17" s="204">
        <v>8</v>
      </c>
      <c r="AC17" s="204">
        <v>119</v>
      </c>
      <c r="AD17" s="204">
        <v>48</v>
      </c>
      <c r="AE17" s="204">
        <v>75</v>
      </c>
      <c r="AF17" s="207">
        <v>7.5630252100840331E-2</v>
      </c>
      <c r="AG17" s="207">
        <v>3.71900826446281E-2</v>
      </c>
      <c r="AH17" s="208">
        <v>48.1</v>
      </c>
      <c r="AI17" s="209">
        <v>42</v>
      </c>
      <c r="AJ17" s="209">
        <v>8</v>
      </c>
      <c r="AK17" s="209">
        <v>57</v>
      </c>
      <c r="AL17" s="205">
        <v>1441.75</v>
      </c>
      <c r="AM17" s="208">
        <v>18.483974358974358</v>
      </c>
      <c r="AN17" s="204">
        <v>1797</v>
      </c>
      <c r="AO17" s="208">
        <v>23.03846153846154</v>
      </c>
      <c r="AP17" s="210">
        <v>0.8023094045631608</v>
      </c>
      <c r="AQ17" s="209">
        <v>124.63986</v>
      </c>
      <c r="AR17" s="210">
        <v>5.1870238252124157</v>
      </c>
      <c r="AS17" s="207">
        <v>8.2568807339449546E-2</v>
      </c>
      <c r="AT17" s="207">
        <v>0.1834862385321101</v>
      </c>
      <c r="AU17" s="207">
        <v>0.26605504587155965</v>
      </c>
      <c r="AV17" s="204">
        <v>0</v>
      </c>
      <c r="AW17" s="204">
        <v>0</v>
      </c>
      <c r="AX17" s="211">
        <v>0</v>
      </c>
      <c r="AY17" s="204">
        <v>0</v>
      </c>
      <c r="AZ17" s="204">
        <v>141</v>
      </c>
      <c r="BA17" s="204">
        <v>41</v>
      </c>
      <c r="BB17" s="204">
        <v>112</v>
      </c>
      <c r="BC17" s="204">
        <v>48</v>
      </c>
      <c r="BD17" s="204">
        <v>35</v>
      </c>
      <c r="BE17" s="204">
        <v>10</v>
      </c>
      <c r="BF17" s="205">
        <v>5.8678689093116008</v>
      </c>
      <c r="BG17" s="208">
        <v>1.7062597537714583</v>
      </c>
      <c r="BH17" s="208">
        <v>4.6610022542049592</v>
      </c>
      <c r="BI17" s="208">
        <v>1.9975723946592685</v>
      </c>
      <c r="BJ17" s="208">
        <v>1.4565632044390497</v>
      </c>
      <c r="BK17" s="208">
        <v>0.41616091555401424</v>
      </c>
      <c r="BL17" s="204">
        <v>14</v>
      </c>
      <c r="BM17" s="204">
        <v>7</v>
      </c>
      <c r="BN17" s="204">
        <v>0</v>
      </c>
      <c r="BO17" s="204">
        <v>0</v>
      </c>
      <c r="BP17" s="204">
        <v>0</v>
      </c>
      <c r="BQ17" s="204">
        <v>0</v>
      </c>
      <c r="BR17" s="205">
        <v>12.398035999999999</v>
      </c>
      <c r="BS17" s="204"/>
      <c r="BT17" s="204"/>
      <c r="BU17" s="212" t="s">
        <v>139</v>
      </c>
      <c r="BV17" s="204"/>
      <c r="BW17" s="204">
        <v>1</v>
      </c>
      <c r="BX17" s="204">
        <v>17</v>
      </c>
      <c r="BY17" s="204">
        <v>0</v>
      </c>
      <c r="BZ17" s="204">
        <v>0</v>
      </c>
      <c r="CA17" s="204">
        <v>1</v>
      </c>
      <c r="CB17" s="204">
        <v>0</v>
      </c>
      <c r="CC17" s="204">
        <v>1</v>
      </c>
      <c r="CD17" s="204">
        <v>1</v>
      </c>
      <c r="CE17" s="212">
        <v>1</v>
      </c>
      <c r="CF17" s="213">
        <v>2</v>
      </c>
      <c r="CG17" s="204">
        <v>2.5</v>
      </c>
      <c r="CH17" s="204">
        <v>4.0999999999999996</v>
      </c>
      <c r="CI17" s="204">
        <v>6.6</v>
      </c>
      <c r="CJ17" s="214">
        <v>8.4615384615384606E-2</v>
      </c>
      <c r="CK17" s="214">
        <v>0.27466620426564936</v>
      </c>
      <c r="CL17" s="204">
        <v>27.4</v>
      </c>
      <c r="CM17" s="204">
        <v>28.6</v>
      </c>
      <c r="CN17" s="204">
        <v>5.5</v>
      </c>
      <c r="CO17" s="204">
        <v>5.2</v>
      </c>
      <c r="CP17" s="204">
        <v>3.9</v>
      </c>
      <c r="CQ17" s="204">
        <v>0</v>
      </c>
      <c r="CR17" s="204">
        <v>9.1</v>
      </c>
      <c r="CS17" s="215">
        <v>0.11666666666666667</v>
      </c>
      <c r="CT17" s="215">
        <v>0.37870643315415292</v>
      </c>
      <c r="CU17" s="204"/>
      <c r="CV17" s="204"/>
      <c r="CW17" s="204"/>
      <c r="CX17" s="204">
        <v>2</v>
      </c>
      <c r="CY17" s="204" t="s">
        <v>123</v>
      </c>
      <c r="CZ17" s="204">
        <v>894167</v>
      </c>
      <c r="DA17" s="204"/>
      <c r="DB17" s="216">
        <v>7.5297555121951216</v>
      </c>
    </row>
    <row r="18" spans="1:106" x14ac:dyDescent="0.25">
      <c r="A18" s="217">
        <v>22</v>
      </c>
      <c r="B18" s="217" t="s">
        <v>226</v>
      </c>
      <c r="C18" s="217" t="s">
        <v>227</v>
      </c>
      <c r="D18" s="217" t="s">
        <v>168</v>
      </c>
      <c r="E18" s="217" t="s">
        <v>106</v>
      </c>
      <c r="F18" s="217">
        <v>76</v>
      </c>
      <c r="G18" s="217">
        <v>210</v>
      </c>
      <c r="H18" s="217" t="s">
        <v>117</v>
      </c>
      <c r="I18" s="217">
        <v>2009</v>
      </c>
      <c r="J18" s="217">
        <v>2</v>
      </c>
      <c r="K18" s="217">
        <v>54</v>
      </c>
      <c r="L18" s="217" t="s">
        <v>108</v>
      </c>
      <c r="M18" s="217">
        <v>22</v>
      </c>
      <c r="N18" s="217" t="s">
        <v>228</v>
      </c>
      <c r="O18" s="219" t="s">
        <v>229</v>
      </c>
      <c r="P18" s="219" t="s">
        <v>230</v>
      </c>
      <c r="Q18" s="217" t="s">
        <v>231</v>
      </c>
      <c r="R18" s="217"/>
      <c r="S18" s="217"/>
      <c r="T18" s="219" t="s">
        <v>138</v>
      </c>
      <c r="U18" s="217">
        <v>60</v>
      </c>
      <c r="V18" s="217">
        <v>7</v>
      </c>
      <c r="W18" s="217">
        <v>22</v>
      </c>
      <c r="X18" s="217">
        <v>29</v>
      </c>
      <c r="Y18" s="1298">
        <f t="shared" si="0"/>
        <v>0.48333333333333334</v>
      </c>
      <c r="Z18" s="1298" t="s">
        <v>668</v>
      </c>
      <c r="AA18" s="1298">
        <f>22/57</f>
        <v>0.38596491228070173</v>
      </c>
      <c r="AB18" s="217">
        <v>-3</v>
      </c>
      <c r="AC18" s="217">
        <v>124</v>
      </c>
      <c r="AD18" s="217">
        <v>52</v>
      </c>
      <c r="AE18" s="217">
        <v>71</v>
      </c>
      <c r="AF18" s="220">
        <v>5.6451612903225805E-2</v>
      </c>
      <c r="AG18" s="220">
        <v>2.8340080971659919E-2</v>
      </c>
      <c r="AH18" s="221">
        <v>50.7</v>
      </c>
      <c r="AI18" s="222">
        <v>23</v>
      </c>
      <c r="AJ18" s="222">
        <v>13</v>
      </c>
      <c r="AK18" s="222">
        <v>85</v>
      </c>
      <c r="AL18" s="218">
        <v>1015.4333333333</v>
      </c>
      <c r="AM18" s="221">
        <v>16.923888888888332</v>
      </c>
      <c r="AN18" s="217">
        <v>1312</v>
      </c>
      <c r="AO18" s="221">
        <v>21.866666666666667</v>
      </c>
      <c r="AP18" s="223">
        <v>0.77395833333330788</v>
      </c>
      <c r="AQ18" s="222">
        <v>100.383459</v>
      </c>
      <c r="AR18" s="223">
        <v>5.9314652594953197</v>
      </c>
      <c r="AS18" s="220">
        <v>8.9743589743589744E-2</v>
      </c>
      <c r="AT18" s="220">
        <v>0.28205128205128205</v>
      </c>
      <c r="AU18" s="220">
        <v>0.37179487179487181</v>
      </c>
      <c r="AV18" s="217">
        <v>0</v>
      </c>
      <c r="AW18" s="217">
        <v>0</v>
      </c>
      <c r="AX18" s="224">
        <v>0</v>
      </c>
      <c r="AY18" s="217">
        <v>0</v>
      </c>
      <c r="AZ18" s="217">
        <v>93</v>
      </c>
      <c r="BA18" s="217">
        <v>99</v>
      </c>
      <c r="BB18" s="217">
        <v>20</v>
      </c>
      <c r="BC18" s="217">
        <v>52</v>
      </c>
      <c r="BD18" s="217">
        <v>26</v>
      </c>
      <c r="BE18" s="217">
        <v>12</v>
      </c>
      <c r="BF18" s="218">
        <v>5.4951908873060926</v>
      </c>
      <c r="BG18" s="221">
        <v>5.8497193316484211</v>
      </c>
      <c r="BH18" s="221">
        <v>1.1817614811410952</v>
      </c>
      <c r="BI18" s="221">
        <v>3.0725798509668474</v>
      </c>
      <c r="BJ18" s="221">
        <v>1.5362899254834237</v>
      </c>
      <c r="BK18" s="221">
        <v>0.70905688868465711</v>
      </c>
      <c r="BL18" s="217">
        <v>22</v>
      </c>
      <c r="BM18" s="217">
        <v>11</v>
      </c>
      <c r="BN18" s="217">
        <v>0</v>
      </c>
      <c r="BO18" s="217">
        <v>0</v>
      </c>
      <c r="BP18" s="217">
        <v>0</v>
      </c>
      <c r="BQ18" s="217">
        <v>0</v>
      </c>
      <c r="BR18" s="218">
        <v>-2.0596169999999998</v>
      </c>
      <c r="BS18" s="217"/>
      <c r="BT18" s="217"/>
      <c r="BU18" s="225" t="s">
        <v>139</v>
      </c>
      <c r="BV18" s="217"/>
      <c r="BW18" s="217">
        <v>0</v>
      </c>
      <c r="BX18" s="217">
        <v>18</v>
      </c>
      <c r="BY18" s="217">
        <v>1</v>
      </c>
      <c r="BZ18" s="217">
        <v>0</v>
      </c>
      <c r="CA18" s="217">
        <v>2</v>
      </c>
      <c r="CB18" s="217">
        <v>0</v>
      </c>
      <c r="CC18" s="217">
        <v>0</v>
      </c>
      <c r="CD18" s="217">
        <v>0</v>
      </c>
      <c r="CE18" s="225">
        <v>0</v>
      </c>
      <c r="CF18" s="226">
        <v>2</v>
      </c>
      <c r="CG18" s="217">
        <v>2.8</v>
      </c>
      <c r="CH18" s="217">
        <v>2.5</v>
      </c>
      <c r="CI18" s="217">
        <v>5.3</v>
      </c>
      <c r="CJ18" s="227">
        <v>8.8333333333333333E-2</v>
      </c>
      <c r="CK18" s="227">
        <v>0.31316679250239021</v>
      </c>
      <c r="CL18" s="217">
        <v>28.4</v>
      </c>
      <c r="CM18" s="217">
        <v>20.6</v>
      </c>
      <c r="CN18" s="217">
        <v>1.2</v>
      </c>
      <c r="CO18" s="217">
        <v>4.7</v>
      </c>
      <c r="CP18" s="217">
        <v>2.5</v>
      </c>
      <c r="CQ18" s="217">
        <v>0</v>
      </c>
      <c r="CR18" s="217">
        <v>7.2</v>
      </c>
      <c r="CS18" s="228">
        <v>0.12000000000000001</v>
      </c>
      <c r="CT18" s="228">
        <v>0.42543413321079426</v>
      </c>
      <c r="CU18" s="217"/>
      <c r="CV18" s="217"/>
      <c r="CW18" s="217"/>
      <c r="CX18" s="217"/>
      <c r="CY18" s="217"/>
      <c r="CZ18" s="217">
        <v>870000</v>
      </c>
      <c r="DA18" s="217"/>
      <c r="DB18" s="229">
        <v>5.6721951219512192</v>
      </c>
    </row>
    <row r="19" spans="1:106" x14ac:dyDescent="0.25">
      <c r="A19" s="230">
        <v>8</v>
      </c>
      <c r="B19" s="230" t="s">
        <v>232</v>
      </c>
      <c r="C19" s="230" t="s">
        <v>233</v>
      </c>
      <c r="D19" s="230" t="s">
        <v>234</v>
      </c>
      <c r="E19" s="230" t="s">
        <v>106</v>
      </c>
      <c r="F19" s="230">
        <v>77</v>
      </c>
      <c r="G19" s="230">
        <v>213</v>
      </c>
      <c r="H19" s="230" t="s">
        <v>117</v>
      </c>
      <c r="I19" s="230">
        <v>2008</v>
      </c>
      <c r="J19" s="230">
        <v>1</v>
      </c>
      <c r="K19" s="230">
        <v>16</v>
      </c>
      <c r="L19" s="230" t="s">
        <v>108</v>
      </c>
      <c r="M19" s="230">
        <v>24</v>
      </c>
      <c r="N19" s="230" t="s">
        <v>235</v>
      </c>
      <c r="O19" s="232" t="s">
        <v>236</v>
      </c>
      <c r="P19" s="232" t="s">
        <v>237</v>
      </c>
      <c r="Q19" s="230" t="s">
        <v>172</v>
      </c>
      <c r="R19" s="230"/>
      <c r="S19" s="230"/>
      <c r="T19" s="232" t="s">
        <v>238</v>
      </c>
      <c r="U19" s="230">
        <v>80</v>
      </c>
      <c r="V19" s="230">
        <v>10</v>
      </c>
      <c r="W19" s="230">
        <v>18</v>
      </c>
      <c r="X19" s="230">
        <v>28</v>
      </c>
      <c r="Y19" s="1298">
        <f t="shared" si="0"/>
        <v>0.35</v>
      </c>
      <c r="Z19" s="1298" t="s">
        <v>668</v>
      </c>
      <c r="AA19" s="1298">
        <f>42/65</f>
        <v>0.64615384615384619</v>
      </c>
      <c r="AB19" s="230">
        <v>-17</v>
      </c>
      <c r="AC19" s="230">
        <v>80</v>
      </c>
      <c r="AD19" s="230">
        <v>33</v>
      </c>
      <c r="AE19" s="230">
        <v>25</v>
      </c>
      <c r="AF19" s="233">
        <v>0.125</v>
      </c>
      <c r="AG19" s="233">
        <v>7.2463768115942032E-2</v>
      </c>
      <c r="AH19" s="234">
        <v>24.9</v>
      </c>
      <c r="AI19" s="235">
        <v>46</v>
      </c>
      <c r="AJ19" s="235">
        <v>6</v>
      </c>
      <c r="AK19" s="235">
        <v>4</v>
      </c>
      <c r="AL19" s="231">
        <v>1140.5166666667001</v>
      </c>
      <c r="AM19" s="234">
        <v>14.25645833333375</v>
      </c>
      <c r="AN19" s="230">
        <v>1614</v>
      </c>
      <c r="AO19" s="234">
        <v>20.175000000000001</v>
      </c>
      <c r="AP19" s="236">
        <v>0.70663981825693933</v>
      </c>
      <c r="AQ19" s="235">
        <v>106.39869299999999</v>
      </c>
      <c r="AR19" s="236">
        <v>5.5973943797400114</v>
      </c>
      <c r="AS19" s="233">
        <v>9.4339622641509441E-2</v>
      </c>
      <c r="AT19" s="233">
        <v>0.16981132075471697</v>
      </c>
      <c r="AU19" s="233">
        <v>0.26415094339622641</v>
      </c>
      <c r="AV19" s="230">
        <v>214</v>
      </c>
      <c r="AW19" s="230">
        <v>227</v>
      </c>
      <c r="AX19" s="237">
        <v>0.48526077097505671</v>
      </c>
      <c r="AY19" s="230">
        <v>9.3000000000000007</v>
      </c>
      <c r="AZ19" s="230">
        <v>98</v>
      </c>
      <c r="BA19" s="230">
        <v>129</v>
      </c>
      <c r="BB19" s="230">
        <v>33</v>
      </c>
      <c r="BC19" s="230">
        <v>33</v>
      </c>
      <c r="BD19" s="230">
        <v>38</v>
      </c>
      <c r="BE19" s="230">
        <v>30</v>
      </c>
      <c r="BF19" s="231">
        <v>5.1555581534683057</v>
      </c>
      <c r="BG19" s="234">
        <v>6.7863979775246079</v>
      </c>
      <c r="BH19" s="234">
        <v>1.7360552965760623</v>
      </c>
      <c r="BI19" s="234">
        <v>1.7360552965760623</v>
      </c>
      <c r="BJ19" s="234">
        <v>1.9990939778754659</v>
      </c>
      <c r="BK19" s="234">
        <v>1.5782320877964202</v>
      </c>
      <c r="BL19" s="230">
        <v>34</v>
      </c>
      <c r="BM19" s="230">
        <v>17</v>
      </c>
      <c r="BN19" s="230">
        <v>0</v>
      </c>
      <c r="BO19" s="230">
        <v>0</v>
      </c>
      <c r="BP19" s="230">
        <v>0</v>
      </c>
      <c r="BQ19" s="230">
        <v>0</v>
      </c>
      <c r="BR19" s="231">
        <v>-9.6276639999999993</v>
      </c>
      <c r="BS19" s="230">
        <v>9</v>
      </c>
      <c r="BT19" s="230">
        <v>4</v>
      </c>
      <c r="BU19" s="238">
        <v>0.44444444444444442</v>
      </c>
      <c r="BV19" s="230">
        <v>1</v>
      </c>
      <c r="BW19" s="230">
        <v>1</v>
      </c>
      <c r="BX19" s="230">
        <v>20</v>
      </c>
      <c r="BY19" s="230">
        <v>0</v>
      </c>
      <c r="BZ19" s="230">
        <v>0</v>
      </c>
      <c r="CA19" s="230">
        <v>1</v>
      </c>
      <c r="CB19" s="230">
        <v>0</v>
      </c>
      <c r="CC19" s="230">
        <v>0</v>
      </c>
      <c r="CD19" s="230">
        <v>0</v>
      </c>
      <c r="CE19" s="238">
        <v>0</v>
      </c>
      <c r="CF19" s="239">
        <v>4</v>
      </c>
      <c r="CG19" s="230">
        <v>1</v>
      </c>
      <c r="CH19" s="230">
        <v>0.7</v>
      </c>
      <c r="CI19" s="230">
        <v>1.8</v>
      </c>
      <c r="CJ19" s="240">
        <v>2.2499999999999999E-2</v>
      </c>
      <c r="CK19" s="240">
        <v>9.4693925267785209E-2</v>
      </c>
      <c r="CL19" s="230">
        <v>23.5</v>
      </c>
      <c r="CM19" s="230">
        <v>22</v>
      </c>
      <c r="CN19" s="230">
        <v>-8.1</v>
      </c>
      <c r="CO19" s="230">
        <v>0.60000000000000009</v>
      </c>
      <c r="CP19" s="230">
        <v>1.5</v>
      </c>
      <c r="CQ19" s="230">
        <v>1</v>
      </c>
      <c r="CR19" s="230">
        <v>3.2</v>
      </c>
      <c r="CS19" s="241">
        <v>0.04</v>
      </c>
      <c r="CT19" s="241">
        <v>0.16834475603161819</v>
      </c>
      <c r="CU19" s="230"/>
      <c r="CV19" s="230"/>
      <c r="CW19" s="230"/>
      <c r="CX19" s="230">
        <v>1</v>
      </c>
      <c r="CY19" s="230" t="s">
        <v>239</v>
      </c>
      <c r="CZ19" s="230">
        <v>600000</v>
      </c>
      <c r="DA19" s="230"/>
      <c r="DB19" s="242">
        <v>2.1463414634146343</v>
      </c>
    </row>
    <row r="20" spans="1:106" x14ac:dyDescent="0.25">
      <c r="A20" s="243">
        <v>44</v>
      </c>
      <c r="B20" s="243" t="s">
        <v>240</v>
      </c>
      <c r="C20" s="243" t="s">
        <v>241</v>
      </c>
      <c r="D20" s="243" t="s">
        <v>242</v>
      </c>
      <c r="E20" s="243" t="s">
        <v>106</v>
      </c>
      <c r="F20" s="243">
        <v>73</v>
      </c>
      <c r="G20" s="243">
        <v>205</v>
      </c>
      <c r="H20" s="243" t="s">
        <v>117</v>
      </c>
      <c r="I20" s="243">
        <v>2012</v>
      </c>
      <c r="J20" s="243">
        <v>1</v>
      </c>
      <c r="K20" s="243">
        <v>5</v>
      </c>
      <c r="L20" s="243" t="s">
        <v>108</v>
      </c>
      <c r="M20" s="243">
        <v>19</v>
      </c>
      <c r="N20" s="243" t="s">
        <v>243</v>
      </c>
      <c r="O20" s="245" t="s">
        <v>244</v>
      </c>
      <c r="P20" s="245" t="s">
        <v>245</v>
      </c>
      <c r="Q20" s="243" t="s">
        <v>246</v>
      </c>
      <c r="R20" s="243"/>
      <c r="S20" s="243"/>
      <c r="T20" s="245" t="s">
        <v>138</v>
      </c>
      <c r="U20" s="243">
        <v>73</v>
      </c>
      <c r="V20" s="243">
        <v>2</v>
      </c>
      <c r="W20" s="243">
        <v>25</v>
      </c>
      <c r="X20" s="243">
        <v>27</v>
      </c>
      <c r="Y20" s="1298">
        <f t="shared" si="0"/>
        <v>0.36986301369863012</v>
      </c>
      <c r="Z20" s="1298" t="s">
        <v>672</v>
      </c>
      <c r="AA20" s="1298">
        <f>54/60</f>
        <v>0.9</v>
      </c>
      <c r="AB20" s="243">
        <v>-13</v>
      </c>
      <c r="AC20" s="243">
        <v>96</v>
      </c>
      <c r="AD20" s="243">
        <v>46</v>
      </c>
      <c r="AE20" s="243">
        <v>72</v>
      </c>
      <c r="AF20" s="246">
        <v>2.0833333333333332E-2</v>
      </c>
      <c r="AG20" s="246">
        <v>9.3457943925233638E-3</v>
      </c>
      <c r="AH20" s="247">
        <v>45.6</v>
      </c>
      <c r="AI20" s="248">
        <v>64</v>
      </c>
      <c r="AJ20" s="248">
        <v>19</v>
      </c>
      <c r="AK20" s="248">
        <v>7</v>
      </c>
      <c r="AL20" s="244">
        <v>1286.9833333332999</v>
      </c>
      <c r="AM20" s="247">
        <v>17.629908675798628</v>
      </c>
      <c r="AN20" s="243">
        <v>1748</v>
      </c>
      <c r="AO20" s="247">
        <v>23.945205479452056</v>
      </c>
      <c r="AP20" s="249">
        <v>0.736260488176945</v>
      </c>
      <c r="AQ20" s="248">
        <v>59.064447000000001</v>
      </c>
      <c r="AR20" s="249">
        <v>2.7536229321799754</v>
      </c>
      <c r="AS20" s="246">
        <v>0.02</v>
      </c>
      <c r="AT20" s="246">
        <v>0.25</v>
      </c>
      <c r="AU20" s="246">
        <v>0.27</v>
      </c>
      <c r="AV20" s="243">
        <v>0</v>
      </c>
      <c r="AW20" s="243">
        <v>0</v>
      </c>
      <c r="AX20" s="250">
        <v>0</v>
      </c>
      <c r="AY20" s="243">
        <v>0</v>
      </c>
      <c r="AZ20" s="243">
        <v>96</v>
      </c>
      <c r="BA20" s="243">
        <v>96</v>
      </c>
      <c r="BB20" s="243">
        <v>92</v>
      </c>
      <c r="BC20" s="243">
        <v>46</v>
      </c>
      <c r="BD20" s="243">
        <v>71</v>
      </c>
      <c r="BE20" s="243">
        <v>38</v>
      </c>
      <c r="BF20" s="244">
        <v>4.4755824343750756</v>
      </c>
      <c r="BG20" s="247">
        <v>4.4755824343750756</v>
      </c>
      <c r="BH20" s="247">
        <v>4.2890998329427807</v>
      </c>
      <c r="BI20" s="247">
        <v>2.1445499164713904</v>
      </c>
      <c r="BJ20" s="247">
        <v>3.3100661754232332</v>
      </c>
      <c r="BK20" s="247">
        <v>1.7715847136068008</v>
      </c>
      <c r="BL20" s="243">
        <v>12</v>
      </c>
      <c r="BM20" s="243">
        <v>6</v>
      </c>
      <c r="BN20" s="243">
        <v>0</v>
      </c>
      <c r="BO20" s="243">
        <v>0</v>
      </c>
      <c r="BP20" s="243">
        <v>0</v>
      </c>
      <c r="BQ20" s="243">
        <v>0</v>
      </c>
      <c r="BR20" s="244">
        <v>5.2918419999999999</v>
      </c>
      <c r="BS20" s="243"/>
      <c r="BT20" s="243"/>
      <c r="BU20" s="251" t="s">
        <v>139</v>
      </c>
      <c r="BV20" s="243"/>
      <c r="BW20" s="243">
        <v>0</v>
      </c>
      <c r="BX20" s="243">
        <v>19</v>
      </c>
      <c r="BY20" s="243">
        <v>0</v>
      </c>
      <c r="BZ20" s="243">
        <v>0</v>
      </c>
      <c r="CA20" s="243">
        <v>0</v>
      </c>
      <c r="CB20" s="243">
        <v>0</v>
      </c>
      <c r="CC20" s="243">
        <v>0</v>
      </c>
      <c r="CD20" s="243">
        <v>0</v>
      </c>
      <c r="CE20" s="251">
        <v>0</v>
      </c>
      <c r="CF20" s="252">
        <v>2</v>
      </c>
      <c r="CG20" s="243">
        <v>1.8</v>
      </c>
      <c r="CH20" s="243">
        <v>1.2</v>
      </c>
      <c r="CI20" s="243">
        <v>3</v>
      </c>
      <c r="CJ20" s="253">
        <v>4.1095890410958902E-2</v>
      </c>
      <c r="CK20" s="253">
        <v>0.13986195107422111</v>
      </c>
      <c r="CL20" s="243">
        <v>31.7</v>
      </c>
      <c r="CM20" s="243">
        <v>26.9</v>
      </c>
      <c r="CN20" s="243">
        <v>-5.7</v>
      </c>
      <c r="CO20" s="243">
        <v>2.7</v>
      </c>
      <c r="CP20" s="243">
        <v>-0.8</v>
      </c>
      <c r="CQ20" s="243">
        <v>0</v>
      </c>
      <c r="CR20" s="243">
        <v>1.9</v>
      </c>
      <c r="CS20" s="254">
        <v>2.602739726027397E-2</v>
      </c>
      <c r="CT20" s="254">
        <v>8.8579235680340027E-2</v>
      </c>
      <c r="CU20" s="243"/>
      <c r="CV20" s="243"/>
      <c r="CW20" s="243"/>
      <c r="CX20" s="243"/>
      <c r="CY20" s="243"/>
      <c r="CZ20" s="243">
        <v>1744167</v>
      </c>
      <c r="DA20" s="243"/>
      <c r="DB20" s="255">
        <v>-1.162927414634146</v>
      </c>
    </row>
    <row r="21" spans="1:106" x14ac:dyDescent="0.25">
      <c r="A21" s="256">
        <v>29</v>
      </c>
      <c r="B21" s="256" t="s">
        <v>247</v>
      </c>
      <c r="C21" s="256" t="s">
        <v>248</v>
      </c>
      <c r="D21" s="256" t="s">
        <v>142</v>
      </c>
      <c r="E21" s="256" t="s">
        <v>127</v>
      </c>
      <c r="F21" s="256">
        <v>75</v>
      </c>
      <c r="G21" s="256">
        <v>196</v>
      </c>
      <c r="H21" s="256" t="s">
        <v>117</v>
      </c>
      <c r="I21" s="256">
        <v>2010</v>
      </c>
      <c r="J21" s="256">
        <v>1</v>
      </c>
      <c r="K21" s="256">
        <v>30</v>
      </c>
      <c r="L21" s="256" t="s">
        <v>108</v>
      </c>
      <c r="M21" s="256">
        <v>22</v>
      </c>
      <c r="N21" s="256" t="s">
        <v>249</v>
      </c>
      <c r="O21" s="258" t="s">
        <v>250</v>
      </c>
      <c r="P21" s="258" t="s">
        <v>251</v>
      </c>
      <c r="Q21" s="256" t="s">
        <v>252</v>
      </c>
      <c r="R21" s="256"/>
      <c r="S21" s="256"/>
      <c r="T21" s="258" t="s">
        <v>113</v>
      </c>
      <c r="U21" s="256">
        <v>72</v>
      </c>
      <c r="V21" s="256">
        <v>14</v>
      </c>
      <c r="W21" s="256">
        <v>12</v>
      </c>
      <c r="X21" s="256">
        <v>26</v>
      </c>
      <c r="Y21" s="1298">
        <f t="shared" si="0"/>
        <v>0.3611111111111111</v>
      </c>
      <c r="Z21" s="1298" t="s">
        <v>668</v>
      </c>
      <c r="AA21" s="1298">
        <f>52/66</f>
        <v>0.78787878787878785</v>
      </c>
      <c r="AB21" s="256">
        <v>-10</v>
      </c>
      <c r="AC21" s="256">
        <v>132</v>
      </c>
      <c r="AD21" s="256">
        <v>56</v>
      </c>
      <c r="AE21" s="256">
        <v>73</v>
      </c>
      <c r="AF21" s="259">
        <v>0.10606060606060606</v>
      </c>
      <c r="AG21" s="259">
        <v>5.3639846743295021E-2</v>
      </c>
      <c r="AH21" s="260">
        <v>27.5</v>
      </c>
      <c r="AI21" s="261">
        <v>81</v>
      </c>
      <c r="AJ21" s="261">
        <v>20</v>
      </c>
      <c r="AK21" s="261">
        <v>9</v>
      </c>
      <c r="AL21" s="257">
        <v>1026.8833333333</v>
      </c>
      <c r="AM21" s="260">
        <v>14.262268518518056</v>
      </c>
      <c r="AN21" s="256">
        <v>1454</v>
      </c>
      <c r="AO21" s="260">
        <v>20.194444444444443</v>
      </c>
      <c r="AP21" s="262">
        <v>0.70624713434202202</v>
      </c>
      <c r="AQ21" s="261">
        <v>44.882353000000002</v>
      </c>
      <c r="AR21" s="262">
        <v>2.6224412185740875</v>
      </c>
      <c r="AS21" s="259">
        <v>0.10218978102189781</v>
      </c>
      <c r="AT21" s="259">
        <v>8.7591240875912413E-2</v>
      </c>
      <c r="AU21" s="259">
        <v>0.18978102189781021</v>
      </c>
      <c r="AV21" s="256">
        <v>191</v>
      </c>
      <c r="AW21" s="256">
        <v>260</v>
      </c>
      <c r="AX21" s="263">
        <v>0.42350332594235035</v>
      </c>
      <c r="AY21" s="256">
        <v>10.4</v>
      </c>
      <c r="AZ21" s="256">
        <v>94</v>
      </c>
      <c r="BA21" s="256">
        <v>74</v>
      </c>
      <c r="BB21" s="256">
        <v>38</v>
      </c>
      <c r="BC21" s="256">
        <v>56</v>
      </c>
      <c r="BD21" s="256">
        <v>23</v>
      </c>
      <c r="BE21" s="256">
        <v>32</v>
      </c>
      <c r="BF21" s="257">
        <v>5.4923473942189309</v>
      </c>
      <c r="BG21" s="260">
        <v>4.3237628422574561</v>
      </c>
      <c r="BH21" s="260">
        <v>2.2203106487268016</v>
      </c>
      <c r="BI21" s="260">
        <v>3.2720367454921289</v>
      </c>
      <c r="BJ21" s="260">
        <v>1.3438722347556959</v>
      </c>
      <c r="BK21" s="260">
        <v>1.8697352831383593</v>
      </c>
      <c r="BL21" s="256">
        <v>12</v>
      </c>
      <c r="BM21" s="256">
        <v>6</v>
      </c>
      <c r="BN21" s="256">
        <v>0</v>
      </c>
      <c r="BO21" s="256">
        <v>0</v>
      </c>
      <c r="BP21" s="256">
        <v>0</v>
      </c>
      <c r="BQ21" s="256">
        <v>0</v>
      </c>
      <c r="BR21" s="257">
        <v>10.653381</v>
      </c>
      <c r="BS21" s="256">
        <v>4</v>
      </c>
      <c r="BT21" s="256">
        <v>3</v>
      </c>
      <c r="BU21" s="264">
        <v>0.75</v>
      </c>
      <c r="BV21" s="256">
        <v>1</v>
      </c>
      <c r="BW21" s="256">
        <v>2</v>
      </c>
      <c r="BX21" s="256">
        <v>21</v>
      </c>
      <c r="BY21" s="256">
        <v>0</v>
      </c>
      <c r="BZ21" s="256">
        <v>0</v>
      </c>
      <c r="CA21" s="256">
        <v>1</v>
      </c>
      <c r="CB21" s="256">
        <v>1</v>
      </c>
      <c r="CC21" s="256">
        <v>0</v>
      </c>
      <c r="CD21" s="256">
        <v>0</v>
      </c>
      <c r="CE21" s="264">
        <v>0</v>
      </c>
      <c r="CF21" s="265">
        <v>4</v>
      </c>
      <c r="CG21" s="256">
        <v>1.6</v>
      </c>
      <c r="CH21" s="256">
        <v>0.7</v>
      </c>
      <c r="CI21" s="256">
        <v>2.2999999999999998</v>
      </c>
      <c r="CJ21" s="266">
        <v>3.1944444444444442E-2</v>
      </c>
      <c r="CK21" s="266">
        <v>0.13438722347556958</v>
      </c>
      <c r="CL21" s="256">
        <v>21.7</v>
      </c>
      <c r="CM21" s="256">
        <v>20.5</v>
      </c>
      <c r="CN21" s="256">
        <v>-1.7000000000000002</v>
      </c>
      <c r="CO21" s="256">
        <v>1.7000000000000002</v>
      </c>
      <c r="CP21" s="256">
        <v>1.6</v>
      </c>
      <c r="CQ21" s="256">
        <v>1.5</v>
      </c>
      <c r="CR21" s="256">
        <v>4.8</v>
      </c>
      <c r="CS21" s="267">
        <v>6.6666666666666666E-2</v>
      </c>
      <c r="CT21" s="267">
        <v>0.28046029247075394</v>
      </c>
      <c r="CU21" s="256"/>
      <c r="CV21" s="256"/>
      <c r="CW21" s="256"/>
      <c r="CX21" s="256"/>
      <c r="CY21" s="256"/>
      <c r="CZ21" s="256">
        <v>2825000</v>
      </c>
      <c r="DA21" s="256"/>
      <c r="DB21" s="268">
        <v>-0.16097560975609682</v>
      </c>
    </row>
    <row r="22" spans="1:106" x14ac:dyDescent="0.25">
      <c r="A22" s="269">
        <v>48</v>
      </c>
      <c r="B22" s="269" t="s">
        <v>253</v>
      </c>
      <c r="C22" s="269" t="s">
        <v>254</v>
      </c>
      <c r="D22" s="269"/>
      <c r="E22" s="269" t="s">
        <v>116</v>
      </c>
      <c r="F22" s="269">
        <v>74</v>
      </c>
      <c r="G22" s="269">
        <v>210</v>
      </c>
      <c r="H22" s="269" t="s">
        <v>117</v>
      </c>
      <c r="I22" s="269">
        <v>2012</v>
      </c>
      <c r="J22" s="269">
        <v>1</v>
      </c>
      <c r="K22" s="269">
        <v>17</v>
      </c>
      <c r="L22" s="269" t="s">
        <v>108</v>
      </c>
      <c r="M22" s="269">
        <v>20</v>
      </c>
      <c r="N22" s="269" t="s">
        <v>255</v>
      </c>
      <c r="O22" s="271" t="s">
        <v>256</v>
      </c>
      <c r="P22" s="271" t="s">
        <v>257</v>
      </c>
      <c r="Q22" s="269" t="s">
        <v>258</v>
      </c>
      <c r="R22" s="269"/>
      <c r="S22" s="269"/>
      <c r="T22" s="271" t="s">
        <v>113</v>
      </c>
      <c r="U22" s="269">
        <v>37</v>
      </c>
      <c r="V22" s="269">
        <v>15</v>
      </c>
      <c r="W22" s="269">
        <v>10</v>
      </c>
      <c r="X22" s="269">
        <v>25</v>
      </c>
      <c r="Y22" s="1298">
        <f t="shared" si="0"/>
        <v>0.67567567567567566</v>
      </c>
      <c r="Z22" s="1298" t="s">
        <v>674</v>
      </c>
      <c r="AA22" s="1298">
        <f>30/43</f>
        <v>0.69767441860465118</v>
      </c>
      <c r="AB22" s="269">
        <v>11</v>
      </c>
      <c r="AC22" s="269">
        <v>98</v>
      </c>
      <c r="AD22" s="269">
        <v>35</v>
      </c>
      <c r="AE22" s="269">
        <v>33</v>
      </c>
      <c r="AF22" s="272">
        <v>0.15306122448979592</v>
      </c>
      <c r="AG22" s="272">
        <v>9.036144578313253E-2</v>
      </c>
      <c r="AH22" s="273">
        <v>21.9</v>
      </c>
      <c r="AI22" s="274">
        <v>50</v>
      </c>
      <c r="AJ22" s="274">
        <v>8</v>
      </c>
      <c r="AK22" s="274">
        <v>11</v>
      </c>
      <c r="AL22" s="270">
        <v>567.15</v>
      </c>
      <c r="AM22" s="273">
        <v>15.328378378378378</v>
      </c>
      <c r="AN22" s="269">
        <v>805</v>
      </c>
      <c r="AO22" s="273">
        <v>21.756756756756758</v>
      </c>
      <c r="AP22" s="275">
        <v>0.70453416149068315</v>
      </c>
      <c r="AQ22" s="274">
        <v>46.5</v>
      </c>
      <c r="AR22" s="275">
        <v>4.9193335096535309</v>
      </c>
      <c r="AS22" s="272">
        <v>0.25862068965517243</v>
      </c>
      <c r="AT22" s="272">
        <v>0.17241379310344829</v>
      </c>
      <c r="AU22" s="272">
        <v>0.43103448275862072</v>
      </c>
      <c r="AV22" s="269">
        <v>29</v>
      </c>
      <c r="AW22" s="269">
        <v>22</v>
      </c>
      <c r="AX22" s="276">
        <v>0.56862745098039214</v>
      </c>
      <c r="AY22" s="269">
        <v>2.1</v>
      </c>
      <c r="AZ22" s="269">
        <v>54</v>
      </c>
      <c r="BA22" s="269">
        <v>39</v>
      </c>
      <c r="BB22" s="269">
        <v>13</v>
      </c>
      <c r="BC22" s="269">
        <v>35</v>
      </c>
      <c r="BD22" s="269">
        <v>18</v>
      </c>
      <c r="BE22" s="269">
        <v>18</v>
      </c>
      <c r="BF22" s="270">
        <v>5.7127743983073263</v>
      </c>
      <c r="BG22" s="273">
        <v>4.1258926209997355</v>
      </c>
      <c r="BH22" s="273">
        <v>1.375297540333245</v>
      </c>
      <c r="BI22" s="273">
        <v>3.702724147051045</v>
      </c>
      <c r="BJ22" s="273">
        <v>1.9042581327691086</v>
      </c>
      <c r="BK22" s="273">
        <v>1.9042581327691086</v>
      </c>
      <c r="BL22" s="269">
        <v>4</v>
      </c>
      <c r="BM22" s="269">
        <v>2</v>
      </c>
      <c r="BN22" s="269">
        <v>0</v>
      </c>
      <c r="BO22" s="269">
        <v>0</v>
      </c>
      <c r="BP22" s="269">
        <v>0</v>
      </c>
      <c r="BQ22" s="269">
        <v>0</v>
      </c>
      <c r="BR22" s="270">
        <v>4.2780059999999995</v>
      </c>
      <c r="BS22" s="269">
        <v>4</v>
      </c>
      <c r="BT22" s="269">
        <v>1</v>
      </c>
      <c r="BU22" s="277">
        <v>0.25</v>
      </c>
      <c r="BV22" s="269">
        <v>0</v>
      </c>
      <c r="BW22" s="269">
        <v>3</v>
      </c>
      <c r="BX22" s="269">
        <v>11</v>
      </c>
      <c r="BY22" s="269">
        <v>0</v>
      </c>
      <c r="BZ22" s="269">
        <v>0</v>
      </c>
      <c r="CA22" s="269">
        <v>3</v>
      </c>
      <c r="CB22" s="269">
        <v>1</v>
      </c>
      <c r="CC22" s="269">
        <v>0</v>
      </c>
      <c r="CD22" s="269">
        <v>0</v>
      </c>
      <c r="CE22" s="277">
        <v>0</v>
      </c>
      <c r="CF22" s="278">
        <v>5</v>
      </c>
      <c r="CG22" s="269">
        <v>2.9</v>
      </c>
      <c r="CH22" s="269">
        <v>1.1000000000000001</v>
      </c>
      <c r="CI22" s="269">
        <v>3.9</v>
      </c>
      <c r="CJ22" s="279">
        <v>0.1054054054054054</v>
      </c>
      <c r="CK22" s="279">
        <v>0.41258926209997354</v>
      </c>
      <c r="CL22" s="269">
        <v>13.2</v>
      </c>
      <c r="CM22" s="269">
        <v>12</v>
      </c>
      <c r="CN22" s="269">
        <v>8.1999999999999993</v>
      </c>
      <c r="CO22" s="269">
        <v>5.2</v>
      </c>
      <c r="CP22" s="269">
        <v>2.1</v>
      </c>
      <c r="CQ22" s="269">
        <v>-0.2</v>
      </c>
      <c r="CR22" s="269">
        <v>7</v>
      </c>
      <c r="CS22" s="280">
        <v>0.1891891891891892</v>
      </c>
      <c r="CT22" s="280">
        <v>0.74054482941020894</v>
      </c>
      <c r="CU22" s="269"/>
      <c r="CV22" s="269"/>
      <c r="CW22" s="269"/>
      <c r="CX22" s="269">
        <v>45</v>
      </c>
      <c r="CY22" s="269" t="s">
        <v>187</v>
      </c>
      <c r="CZ22" s="269">
        <v>1350000</v>
      </c>
      <c r="DA22" s="269"/>
      <c r="DB22" s="281">
        <v>4.6292682926829265</v>
      </c>
    </row>
    <row r="23" spans="1:106" x14ac:dyDescent="0.25">
      <c r="A23" s="282">
        <v>73</v>
      </c>
      <c r="B23" s="282" t="s">
        <v>259</v>
      </c>
      <c r="C23" s="282" t="s">
        <v>260</v>
      </c>
      <c r="D23" s="282" t="s">
        <v>168</v>
      </c>
      <c r="E23" s="282" t="s">
        <v>106</v>
      </c>
      <c r="F23" s="282">
        <v>72</v>
      </c>
      <c r="G23" s="282">
        <v>183</v>
      </c>
      <c r="H23" s="282" t="s">
        <v>117</v>
      </c>
      <c r="I23" s="282">
        <v>2009</v>
      </c>
      <c r="J23" s="282">
        <v>2</v>
      </c>
      <c r="K23" s="282">
        <v>59</v>
      </c>
      <c r="L23" s="282" t="s">
        <v>108</v>
      </c>
      <c r="M23" s="282">
        <v>22</v>
      </c>
      <c r="N23" s="282" t="s">
        <v>261</v>
      </c>
      <c r="O23" s="284" t="s">
        <v>262</v>
      </c>
      <c r="P23" s="284" t="s">
        <v>263</v>
      </c>
      <c r="Q23" s="284" t="s">
        <v>146</v>
      </c>
      <c r="R23" s="282" t="s">
        <v>264</v>
      </c>
      <c r="S23" s="282">
        <v>28</v>
      </c>
      <c r="T23" s="284" t="s">
        <v>113</v>
      </c>
      <c r="U23" s="282">
        <v>49</v>
      </c>
      <c r="V23" s="282">
        <v>13</v>
      </c>
      <c r="W23" s="282">
        <v>12</v>
      </c>
      <c r="X23" s="282">
        <v>25</v>
      </c>
      <c r="Y23" s="1298">
        <f t="shared" si="0"/>
        <v>0.51020408163265307</v>
      </c>
      <c r="Z23" s="1298" t="s">
        <v>668</v>
      </c>
      <c r="AA23" s="1298">
        <f>26/26</f>
        <v>1</v>
      </c>
      <c r="AB23" s="282">
        <v>6</v>
      </c>
      <c r="AC23" s="282">
        <v>80</v>
      </c>
      <c r="AD23" s="282">
        <v>39</v>
      </c>
      <c r="AE23" s="282">
        <v>40</v>
      </c>
      <c r="AF23" s="285">
        <v>0.16250000000000001</v>
      </c>
      <c r="AG23" s="285">
        <v>8.1761006289308172E-2</v>
      </c>
      <c r="AH23" s="286">
        <v>30.8</v>
      </c>
      <c r="AI23" s="287">
        <v>40</v>
      </c>
      <c r="AJ23" s="287">
        <v>14</v>
      </c>
      <c r="AK23" s="287">
        <v>16</v>
      </c>
      <c r="AL23" s="283">
        <v>635.83333333329995</v>
      </c>
      <c r="AM23" s="286">
        <v>12.976190476189794</v>
      </c>
      <c r="AN23" s="282">
        <v>866</v>
      </c>
      <c r="AO23" s="286">
        <v>17.673469387755102</v>
      </c>
      <c r="AP23" s="288">
        <v>0.73421862971512697</v>
      </c>
      <c r="AQ23" s="287">
        <v>41.037036999999998</v>
      </c>
      <c r="AR23" s="288">
        <v>3.8724333735257606</v>
      </c>
      <c r="AS23" s="285">
        <v>0.13402061855670103</v>
      </c>
      <c r="AT23" s="285">
        <v>0.12371134020618557</v>
      </c>
      <c r="AU23" s="285">
        <v>0.25773195876288657</v>
      </c>
      <c r="AV23" s="282">
        <v>204</v>
      </c>
      <c r="AW23" s="282">
        <v>250</v>
      </c>
      <c r="AX23" s="289">
        <v>0.44933920704845814</v>
      </c>
      <c r="AY23" s="282">
        <v>15.3</v>
      </c>
      <c r="AZ23" s="282">
        <v>38</v>
      </c>
      <c r="BA23" s="282">
        <v>24</v>
      </c>
      <c r="BB23" s="282">
        <v>15</v>
      </c>
      <c r="BC23" s="282">
        <v>39</v>
      </c>
      <c r="BD23" s="282">
        <v>7</v>
      </c>
      <c r="BE23" s="282">
        <v>16</v>
      </c>
      <c r="BF23" s="283">
        <v>3.5858453473134255</v>
      </c>
      <c r="BG23" s="286">
        <v>2.2647444298821635</v>
      </c>
      <c r="BH23" s="286">
        <v>1.415465268676352</v>
      </c>
      <c r="BI23" s="286">
        <v>3.6802096985585155</v>
      </c>
      <c r="BJ23" s="286">
        <v>0.66055045871563101</v>
      </c>
      <c r="BK23" s="286">
        <v>1.5098296199214425</v>
      </c>
      <c r="BL23" s="282">
        <v>8</v>
      </c>
      <c r="BM23" s="282">
        <v>4</v>
      </c>
      <c r="BN23" s="282">
        <v>0</v>
      </c>
      <c r="BO23" s="282">
        <v>0</v>
      </c>
      <c r="BP23" s="282">
        <v>0</v>
      </c>
      <c r="BQ23" s="282">
        <v>0</v>
      </c>
      <c r="BR23" s="283">
        <v>4.1359029999999999</v>
      </c>
      <c r="BS23" s="282">
        <v>4</v>
      </c>
      <c r="BT23" s="282">
        <v>2</v>
      </c>
      <c r="BU23" s="290">
        <v>0.5</v>
      </c>
      <c r="BV23" s="282">
        <v>2</v>
      </c>
      <c r="BW23" s="282">
        <v>3</v>
      </c>
      <c r="BX23" s="282">
        <v>10</v>
      </c>
      <c r="BY23" s="282">
        <v>0</v>
      </c>
      <c r="BZ23" s="282">
        <v>0</v>
      </c>
      <c r="CA23" s="282">
        <v>0</v>
      </c>
      <c r="CB23" s="282">
        <v>0</v>
      </c>
      <c r="CC23" s="282">
        <v>0</v>
      </c>
      <c r="CD23" s="282">
        <v>0</v>
      </c>
      <c r="CE23" s="290">
        <v>0</v>
      </c>
      <c r="CF23" s="291">
        <v>3</v>
      </c>
      <c r="CG23" s="282">
        <v>2.6</v>
      </c>
      <c r="CH23" s="282">
        <v>0.8</v>
      </c>
      <c r="CI23" s="282">
        <v>3.4</v>
      </c>
      <c r="CJ23" s="292">
        <v>6.9387755102040816E-2</v>
      </c>
      <c r="CK23" s="292">
        <v>0.32083879423330647</v>
      </c>
      <c r="CL23" s="282">
        <v>14.6</v>
      </c>
      <c r="CM23" s="282">
        <v>11.8</v>
      </c>
      <c r="CN23" s="282">
        <v>7.2</v>
      </c>
      <c r="CO23" s="282">
        <v>4.5</v>
      </c>
      <c r="CP23" s="282">
        <v>1.7000000000000002</v>
      </c>
      <c r="CQ23" s="282">
        <v>0.60000000000000009</v>
      </c>
      <c r="CR23" s="282">
        <v>6.8</v>
      </c>
      <c r="CS23" s="293">
        <v>0.13877551020408163</v>
      </c>
      <c r="CT23" s="293">
        <v>0.64167758846661294</v>
      </c>
      <c r="CU23" s="282"/>
      <c r="CV23" s="282"/>
      <c r="CW23" s="282"/>
      <c r="CX23" s="282"/>
      <c r="CY23" s="282"/>
      <c r="CZ23" s="282">
        <v>870000</v>
      </c>
      <c r="DA23" s="282"/>
      <c r="DB23" s="294">
        <v>5.2721951219512189</v>
      </c>
    </row>
    <row r="24" spans="1:106" x14ac:dyDescent="0.25">
      <c r="A24" s="295">
        <v>3</v>
      </c>
      <c r="B24" s="295" t="s">
        <v>265</v>
      </c>
      <c r="C24" s="295" t="s">
        <v>266</v>
      </c>
      <c r="D24" s="295" t="s">
        <v>267</v>
      </c>
      <c r="E24" s="295" t="s">
        <v>127</v>
      </c>
      <c r="F24" s="295">
        <v>76</v>
      </c>
      <c r="G24" s="295">
        <v>205</v>
      </c>
      <c r="H24" s="295" t="s">
        <v>107</v>
      </c>
      <c r="I24" s="295">
        <v>2013</v>
      </c>
      <c r="J24" s="295">
        <v>1</v>
      </c>
      <c r="K24" s="295">
        <v>4</v>
      </c>
      <c r="L24" s="295" t="s">
        <v>108</v>
      </c>
      <c r="M24" s="295">
        <v>19</v>
      </c>
      <c r="N24" s="295" t="s">
        <v>268</v>
      </c>
      <c r="O24" s="297" t="s">
        <v>269</v>
      </c>
      <c r="P24" s="297" t="s">
        <v>270</v>
      </c>
      <c r="Q24" s="295" t="s">
        <v>271</v>
      </c>
      <c r="R24" s="295"/>
      <c r="S24" s="295"/>
      <c r="T24" s="297" t="s">
        <v>138</v>
      </c>
      <c r="U24" s="295">
        <v>77</v>
      </c>
      <c r="V24" s="295">
        <v>6</v>
      </c>
      <c r="W24" s="295">
        <v>19</v>
      </c>
      <c r="X24" s="295">
        <v>25</v>
      </c>
      <c r="Y24" s="1298">
        <f t="shared" si="0"/>
        <v>0.32467532467532467</v>
      </c>
      <c r="Z24" s="1298" t="s">
        <v>672</v>
      </c>
      <c r="AA24" s="1298">
        <f>56/61</f>
        <v>0.91803278688524592</v>
      </c>
      <c r="AB24" s="295">
        <v>-23</v>
      </c>
      <c r="AC24" s="295">
        <v>100</v>
      </c>
      <c r="AD24" s="295">
        <v>51</v>
      </c>
      <c r="AE24" s="295">
        <v>74</v>
      </c>
      <c r="AF24" s="298">
        <v>0.06</v>
      </c>
      <c r="AG24" s="298">
        <v>2.6666666666666668E-2</v>
      </c>
      <c r="AH24" s="299">
        <v>51.4</v>
      </c>
      <c r="AI24" s="300">
        <v>42</v>
      </c>
      <c r="AJ24" s="300">
        <v>9</v>
      </c>
      <c r="AK24" s="300">
        <v>44</v>
      </c>
      <c r="AL24" s="296">
        <v>1510.6333333333</v>
      </c>
      <c r="AM24" s="299">
        <v>19.618614718614285</v>
      </c>
      <c r="AN24" s="295">
        <v>1862</v>
      </c>
      <c r="AO24" s="299">
        <v>24.181818181818183</v>
      </c>
      <c r="AP24" s="301">
        <v>0.81129609738630504</v>
      </c>
      <c r="AQ24" s="300">
        <v>57.993640999999997</v>
      </c>
      <c r="AR24" s="301">
        <v>2.3034169730135772</v>
      </c>
      <c r="AS24" s="298">
        <v>5.8252427184466021E-2</v>
      </c>
      <c r="AT24" s="298">
        <v>0.18446601941747573</v>
      </c>
      <c r="AU24" s="298">
        <v>0.24271844660194175</v>
      </c>
      <c r="AV24" s="295">
        <v>0</v>
      </c>
      <c r="AW24" s="295">
        <v>0</v>
      </c>
      <c r="AX24" s="302">
        <v>0</v>
      </c>
      <c r="AY24" s="295">
        <v>0</v>
      </c>
      <c r="AZ24" s="295">
        <v>94</v>
      </c>
      <c r="BA24" s="295">
        <v>55</v>
      </c>
      <c r="BB24" s="295">
        <v>99</v>
      </c>
      <c r="BC24" s="295">
        <v>51</v>
      </c>
      <c r="BD24" s="295">
        <v>57</v>
      </c>
      <c r="BE24" s="295">
        <v>25</v>
      </c>
      <c r="BF24" s="296">
        <v>3.7335333965887099</v>
      </c>
      <c r="BG24" s="299">
        <v>2.1845142214082878</v>
      </c>
      <c r="BH24" s="299">
        <v>3.9321255985349173</v>
      </c>
      <c r="BI24" s="299">
        <v>2.0256404598513211</v>
      </c>
      <c r="BJ24" s="299">
        <v>2.2639511021867706</v>
      </c>
      <c r="BK24" s="299">
        <v>0.99296100973103973</v>
      </c>
      <c r="BL24" s="295">
        <v>24</v>
      </c>
      <c r="BM24" s="295">
        <v>12</v>
      </c>
      <c r="BN24" s="295">
        <v>0</v>
      </c>
      <c r="BO24" s="295">
        <v>0</v>
      </c>
      <c r="BP24" s="295">
        <v>0</v>
      </c>
      <c r="BQ24" s="295">
        <v>0</v>
      </c>
      <c r="BR24" s="296">
        <v>8.3749280000000006</v>
      </c>
      <c r="BS24" s="295">
        <v>1</v>
      </c>
      <c r="BT24" s="295">
        <v>0</v>
      </c>
      <c r="BU24" s="303">
        <v>0</v>
      </c>
      <c r="BV24" s="295">
        <v>0</v>
      </c>
      <c r="BW24" s="295">
        <v>2</v>
      </c>
      <c r="BX24" s="295">
        <v>15</v>
      </c>
      <c r="BY24" s="295">
        <v>1</v>
      </c>
      <c r="BZ24" s="295">
        <v>0</v>
      </c>
      <c r="CA24" s="295">
        <v>2</v>
      </c>
      <c r="CB24" s="295">
        <v>0</v>
      </c>
      <c r="CC24" s="295">
        <v>0</v>
      </c>
      <c r="CD24" s="295">
        <v>0</v>
      </c>
      <c r="CE24" s="303">
        <v>0</v>
      </c>
      <c r="CF24" s="304">
        <v>3</v>
      </c>
      <c r="CG24" s="295">
        <v>1.6</v>
      </c>
      <c r="CH24" s="295">
        <v>1.4</v>
      </c>
      <c r="CI24" s="295">
        <v>3</v>
      </c>
      <c r="CJ24" s="305">
        <v>3.896103896103896E-2</v>
      </c>
      <c r="CK24" s="305">
        <v>0.11915532116772479</v>
      </c>
      <c r="CL24" s="295">
        <v>31.8</v>
      </c>
      <c r="CM24" s="295">
        <v>30.7</v>
      </c>
      <c r="CN24" s="295">
        <v>-17.3</v>
      </c>
      <c r="CO24" s="295">
        <v>2.2999999999999998</v>
      </c>
      <c r="CP24" s="295">
        <v>0.60000000000000009</v>
      </c>
      <c r="CQ24" s="295">
        <v>-0.30000000000000004</v>
      </c>
      <c r="CR24" s="295">
        <v>2.6</v>
      </c>
      <c r="CS24" s="306">
        <v>3.3766233766233771E-2</v>
      </c>
      <c r="CT24" s="306">
        <v>0.10326794501202814</v>
      </c>
      <c r="CU24" s="295"/>
      <c r="CV24" s="295"/>
      <c r="CW24" s="295"/>
      <c r="CX24" s="295">
        <v>5</v>
      </c>
      <c r="CY24" s="295" t="s">
        <v>147</v>
      </c>
      <c r="CZ24" s="295">
        <v>3225000</v>
      </c>
      <c r="DA24" s="295"/>
      <c r="DB24" s="307">
        <v>-3.0634146341463411</v>
      </c>
    </row>
    <row r="25" spans="1:106" x14ac:dyDescent="0.25">
      <c r="A25" s="308">
        <v>83</v>
      </c>
      <c r="B25" s="308" t="s">
        <v>272</v>
      </c>
      <c r="C25" s="308" t="s">
        <v>273</v>
      </c>
      <c r="D25" s="308" t="s">
        <v>274</v>
      </c>
      <c r="E25" s="308" t="s">
        <v>127</v>
      </c>
      <c r="F25" s="308">
        <v>71</v>
      </c>
      <c r="G25" s="308">
        <v>190</v>
      </c>
      <c r="H25" s="308" t="s">
        <v>117</v>
      </c>
      <c r="I25" s="308">
        <v>2011</v>
      </c>
      <c r="J25" s="308">
        <v>2</v>
      </c>
      <c r="K25" s="308">
        <v>47</v>
      </c>
      <c r="L25" s="308" t="s">
        <v>108</v>
      </c>
      <c r="M25" s="308">
        <v>21</v>
      </c>
      <c r="N25" s="308" t="s">
        <v>275</v>
      </c>
      <c r="O25" s="310" t="s">
        <v>276</v>
      </c>
      <c r="P25" s="310" t="s">
        <v>277</v>
      </c>
      <c r="Q25" s="308" t="s">
        <v>258</v>
      </c>
      <c r="R25" s="308"/>
      <c r="S25" s="308"/>
      <c r="T25" s="310" t="s">
        <v>122</v>
      </c>
      <c r="U25" s="308">
        <v>66</v>
      </c>
      <c r="V25" s="308">
        <v>10</v>
      </c>
      <c r="W25" s="308">
        <v>14</v>
      </c>
      <c r="X25" s="308">
        <v>24</v>
      </c>
      <c r="Y25" s="1298">
        <f t="shared" si="0"/>
        <v>0.36363636363636365</v>
      </c>
      <c r="Z25" s="1298" t="s">
        <v>669</v>
      </c>
      <c r="AA25" s="1298">
        <f>37/39</f>
        <v>0.94871794871794868</v>
      </c>
      <c r="AB25" s="308">
        <v>-4</v>
      </c>
      <c r="AC25" s="308">
        <v>124</v>
      </c>
      <c r="AD25" s="308">
        <v>33</v>
      </c>
      <c r="AE25" s="308">
        <v>42</v>
      </c>
      <c r="AF25" s="311">
        <v>8.0645161290322578E-2</v>
      </c>
      <c r="AG25" s="311">
        <v>5.0251256281407038E-2</v>
      </c>
      <c r="AH25" s="312">
        <v>29.4</v>
      </c>
      <c r="AI25" s="313">
        <v>62</v>
      </c>
      <c r="AJ25" s="313">
        <v>18</v>
      </c>
      <c r="AK25" s="313">
        <v>17</v>
      </c>
      <c r="AL25" s="309">
        <v>929.06666666670003</v>
      </c>
      <c r="AM25" s="312">
        <v>14.076767676768183</v>
      </c>
      <c r="AN25" s="308">
        <v>1377</v>
      </c>
      <c r="AO25" s="312">
        <v>20.863636363636363</v>
      </c>
      <c r="AP25" s="314">
        <v>0.67470346163159045</v>
      </c>
      <c r="AQ25" s="313">
        <v>112.805556</v>
      </c>
      <c r="AR25" s="314">
        <v>7.2850890068883718</v>
      </c>
      <c r="AS25" s="311">
        <v>9.6153846153846159E-2</v>
      </c>
      <c r="AT25" s="311">
        <v>0.13461538461538461</v>
      </c>
      <c r="AU25" s="311">
        <v>0.23076923076923078</v>
      </c>
      <c r="AV25" s="308">
        <v>3</v>
      </c>
      <c r="AW25" s="308">
        <v>8</v>
      </c>
      <c r="AX25" s="315">
        <v>0.27272727272727271</v>
      </c>
      <c r="AY25" s="308">
        <v>0.2</v>
      </c>
      <c r="AZ25" s="308">
        <v>79</v>
      </c>
      <c r="BA25" s="308">
        <v>7</v>
      </c>
      <c r="BB25" s="308">
        <v>45</v>
      </c>
      <c r="BC25" s="308">
        <v>33</v>
      </c>
      <c r="BD25" s="308">
        <v>29</v>
      </c>
      <c r="BE25" s="308">
        <v>17</v>
      </c>
      <c r="BF25" s="309">
        <v>5.1018943742822511</v>
      </c>
      <c r="BG25" s="312">
        <v>0.45206659012627537</v>
      </c>
      <c r="BH25" s="312">
        <v>2.9061423650974847</v>
      </c>
      <c r="BI25" s="312">
        <v>2.1311710677381557</v>
      </c>
      <c r="BJ25" s="312">
        <v>1.8728473019517125</v>
      </c>
      <c r="BK25" s="312">
        <v>1.097876004592383</v>
      </c>
      <c r="BL25" s="308">
        <v>16</v>
      </c>
      <c r="BM25" s="308">
        <v>7</v>
      </c>
      <c r="BN25" s="308">
        <v>0</v>
      </c>
      <c r="BO25" s="308">
        <v>0</v>
      </c>
      <c r="BP25" s="308">
        <v>0</v>
      </c>
      <c r="BQ25" s="308">
        <v>0</v>
      </c>
      <c r="BR25" s="309">
        <v>1.5151810000000001</v>
      </c>
      <c r="BS25" s="308"/>
      <c r="BT25" s="308"/>
      <c r="BU25" s="316" t="s">
        <v>139</v>
      </c>
      <c r="BV25" s="308"/>
      <c r="BW25" s="308">
        <v>2</v>
      </c>
      <c r="BX25" s="308">
        <v>20</v>
      </c>
      <c r="BY25" s="308">
        <v>0</v>
      </c>
      <c r="BZ25" s="308">
        <v>0</v>
      </c>
      <c r="CA25" s="308">
        <v>2</v>
      </c>
      <c r="CB25" s="308">
        <v>0</v>
      </c>
      <c r="CC25" s="308">
        <v>0</v>
      </c>
      <c r="CD25" s="308">
        <v>0</v>
      </c>
      <c r="CE25" s="316">
        <v>0</v>
      </c>
      <c r="CF25" s="317">
        <v>4</v>
      </c>
      <c r="CG25" s="308">
        <v>1.2</v>
      </c>
      <c r="CH25" s="308">
        <v>0.8</v>
      </c>
      <c r="CI25" s="308">
        <v>2</v>
      </c>
      <c r="CJ25" s="318">
        <v>3.0303030303030304E-2</v>
      </c>
      <c r="CK25" s="318">
        <v>0.12916188289322153</v>
      </c>
      <c r="CL25" s="308">
        <v>13.6</v>
      </c>
      <c r="CM25" s="308">
        <v>13.6</v>
      </c>
      <c r="CN25" s="308">
        <v>-7.3</v>
      </c>
      <c r="CO25" s="308">
        <v>3.8</v>
      </c>
      <c r="CP25" s="308">
        <v>1.2</v>
      </c>
      <c r="CQ25" s="308">
        <v>0</v>
      </c>
      <c r="CR25" s="308">
        <v>5</v>
      </c>
      <c r="CS25" s="319">
        <v>7.575757575757576E-2</v>
      </c>
      <c r="CT25" s="319">
        <v>0.32290470723305387</v>
      </c>
      <c r="CU25" s="308"/>
      <c r="CV25" s="308"/>
      <c r="CW25" s="308"/>
      <c r="CX25" s="308">
        <v>3</v>
      </c>
      <c r="CY25" s="308" t="s">
        <v>278</v>
      </c>
      <c r="CZ25" s="308">
        <v>925000</v>
      </c>
      <c r="DA25" s="308"/>
      <c r="DB25" s="320">
        <v>3.3756097560975613</v>
      </c>
    </row>
    <row r="26" spans="1:106" x14ac:dyDescent="0.25">
      <c r="A26" s="321">
        <v>15</v>
      </c>
      <c r="B26" s="321" t="s">
        <v>279</v>
      </c>
      <c r="C26" s="321" t="s">
        <v>280</v>
      </c>
      <c r="D26" s="321" t="s">
        <v>168</v>
      </c>
      <c r="E26" s="321" t="s">
        <v>106</v>
      </c>
      <c r="F26" s="321">
        <v>74</v>
      </c>
      <c r="G26" s="321">
        <v>212</v>
      </c>
      <c r="H26" s="321" t="s">
        <v>117</v>
      </c>
      <c r="I26" s="321">
        <v>2010</v>
      </c>
      <c r="J26" s="321">
        <v>1</v>
      </c>
      <c r="K26" s="321">
        <v>21</v>
      </c>
      <c r="L26" s="321" t="s">
        <v>108</v>
      </c>
      <c r="M26" s="321">
        <v>22</v>
      </c>
      <c r="N26" s="321" t="s">
        <v>281</v>
      </c>
      <c r="O26" s="323" t="s">
        <v>282</v>
      </c>
      <c r="P26" s="323" t="s">
        <v>283</v>
      </c>
      <c r="Q26" s="321" t="s">
        <v>284</v>
      </c>
      <c r="R26" s="321"/>
      <c r="S26" s="321"/>
      <c r="T26" s="323" t="s">
        <v>113</v>
      </c>
      <c r="U26" s="321">
        <v>42</v>
      </c>
      <c r="V26" s="321">
        <v>9</v>
      </c>
      <c r="W26" s="321">
        <v>15</v>
      </c>
      <c r="X26" s="321">
        <v>24</v>
      </c>
      <c r="Y26" s="1298">
        <f t="shared" si="0"/>
        <v>0.5714285714285714</v>
      </c>
      <c r="Z26" s="1298" t="s">
        <v>668</v>
      </c>
      <c r="AA26" s="1298">
        <f>18/31</f>
        <v>0.58064516129032262</v>
      </c>
      <c r="AB26" s="321">
        <v>8</v>
      </c>
      <c r="AC26" s="321">
        <v>59</v>
      </c>
      <c r="AD26" s="321">
        <v>27</v>
      </c>
      <c r="AE26" s="321">
        <v>20</v>
      </c>
      <c r="AF26" s="324">
        <v>0.15254237288135594</v>
      </c>
      <c r="AG26" s="324">
        <v>8.4905660377358486E-2</v>
      </c>
      <c r="AH26" s="325">
        <v>23</v>
      </c>
      <c r="AI26" s="326">
        <v>33</v>
      </c>
      <c r="AJ26" s="326">
        <v>3</v>
      </c>
      <c r="AK26" s="326">
        <v>4</v>
      </c>
      <c r="AL26" s="322">
        <v>606.88333333330002</v>
      </c>
      <c r="AM26" s="325">
        <v>14.449603174602382</v>
      </c>
      <c r="AN26" s="321">
        <v>872</v>
      </c>
      <c r="AO26" s="325">
        <v>20.761904761904763</v>
      </c>
      <c r="AP26" s="327">
        <v>0.69596712538222483</v>
      </c>
      <c r="AQ26" s="326">
        <v>125.327586</v>
      </c>
      <c r="AR26" s="327">
        <v>12.390610759894123</v>
      </c>
      <c r="AS26" s="324">
        <v>0.16363636363636364</v>
      </c>
      <c r="AT26" s="324">
        <v>0.27272727272727271</v>
      </c>
      <c r="AU26" s="324">
        <v>0.43636363636363634</v>
      </c>
      <c r="AV26" s="321">
        <v>251</v>
      </c>
      <c r="AW26" s="321">
        <v>261</v>
      </c>
      <c r="AX26" s="328">
        <v>0.490234375</v>
      </c>
      <c r="AY26" s="321">
        <v>20.7</v>
      </c>
      <c r="AZ26" s="321">
        <v>49</v>
      </c>
      <c r="BA26" s="321">
        <v>25</v>
      </c>
      <c r="BB26" s="321">
        <v>16</v>
      </c>
      <c r="BC26" s="321">
        <v>27</v>
      </c>
      <c r="BD26" s="321">
        <v>9</v>
      </c>
      <c r="BE26" s="321">
        <v>17</v>
      </c>
      <c r="BF26" s="322">
        <v>4.8444236948345285</v>
      </c>
      <c r="BG26" s="325">
        <v>2.4716447422625145</v>
      </c>
      <c r="BH26" s="325">
        <v>1.5818526350480093</v>
      </c>
      <c r="BI26" s="325">
        <v>2.669376321643516</v>
      </c>
      <c r="BJ26" s="325">
        <v>0.88979210721450519</v>
      </c>
      <c r="BK26" s="325">
        <v>1.6807184247385099</v>
      </c>
      <c r="BL26" s="321">
        <v>6</v>
      </c>
      <c r="BM26" s="321">
        <v>3</v>
      </c>
      <c r="BN26" s="321">
        <v>0</v>
      </c>
      <c r="BO26" s="321">
        <v>0</v>
      </c>
      <c r="BP26" s="321">
        <v>0</v>
      </c>
      <c r="BQ26" s="321">
        <v>0</v>
      </c>
      <c r="BR26" s="322">
        <v>7.2571029999999999</v>
      </c>
      <c r="BS26" s="321">
        <v>1</v>
      </c>
      <c r="BT26" s="321">
        <v>0</v>
      </c>
      <c r="BU26" s="329">
        <v>0</v>
      </c>
      <c r="BV26" s="321">
        <v>0</v>
      </c>
      <c r="BW26" s="321">
        <v>2</v>
      </c>
      <c r="BX26" s="321">
        <v>13</v>
      </c>
      <c r="BY26" s="321">
        <v>0</v>
      </c>
      <c r="BZ26" s="321">
        <v>0</v>
      </c>
      <c r="CA26" s="321">
        <v>1</v>
      </c>
      <c r="CB26" s="321">
        <v>0</v>
      </c>
      <c r="CC26" s="321">
        <v>0</v>
      </c>
      <c r="CD26" s="321">
        <v>0</v>
      </c>
      <c r="CE26" s="329">
        <v>0</v>
      </c>
      <c r="CF26" s="330">
        <v>3</v>
      </c>
      <c r="CG26" s="321">
        <v>2.1</v>
      </c>
      <c r="CH26" s="321">
        <v>1</v>
      </c>
      <c r="CI26" s="321">
        <v>3.1</v>
      </c>
      <c r="CJ26" s="331">
        <v>7.3809523809523811E-2</v>
      </c>
      <c r="CK26" s="331">
        <v>0.30648394804055179</v>
      </c>
      <c r="CL26" s="321">
        <v>15.1</v>
      </c>
      <c r="CM26" s="321">
        <v>12.7</v>
      </c>
      <c r="CN26" s="321">
        <v>8.9</v>
      </c>
      <c r="CO26" s="321">
        <v>3.3</v>
      </c>
      <c r="CP26" s="321">
        <v>1.8</v>
      </c>
      <c r="CQ26" s="321">
        <v>-0.30000000000000004</v>
      </c>
      <c r="CR26" s="321">
        <v>4.8</v>
      </c>
      <c r="CS26" s="332">
        <v>0.11428571428571428</v>
      </c>
      <c r="CT26" s="332">
        <v>0.47455579051440278</v>
      </c>
      <c r="CU26" s="321"/>
      <c r="CV26" s="321"/>
      <c r="CW26" s="321"/>
      <c r="CX26" s="321"/>
      <c r="CY26" s="321"/>
      <c r="CZ26" s="321">
        <v>900000</v>
      </c>
      <c r="DA26" s="321"/>
      <c r="DB26" s="333">
        <v>3.219512195121951</v>
      </c>
    </row>
    <row r="27" spans="1:106" ht="26.25" x14ac:dyDescent="0.25">
      <c r="A27" s="334">
        <v>16</v>
      </c>
      <c r="B27" s="334" t="s">
        <v>285</v>
      </c>
      <c r="C27" s="334" t="s">
        <v>286</v>
      </c>
      <c r="D27" s="334"/>
      <c r="E27" s="334" t="s">
        <v>221</v>
      </c>
      <c r="F27" s="334">
        <v>75</v>
      </c>
      <c r="G27" s="334">
        <v>213</v>
      </c>
      <c r="H27" s="334" t="s">
        <v>117</v>
      </c>
      <c r="I27" s="334">
        <v>2013</v>
      </c>
      <c r="J27" s="334">
        <v>1</v>
      </c>
      <c r="K27" s="334">
        <v>2</v>
      </c>
      <c r="L27" s="334" t="s">
        <v>108</v>
      </c>
      <c r="M27" s="334">
        <v>18</v>
      </c>
      <c r="N27" s="334" t="s">
        <v>287</v>
      </c>
      <c r="O27" s="336" t="s">
        <v>288</v>
      </c>
      <c r="P27" s="336" t="s">
        <v>289</v>
      </c>
      <c r="Q27" s="334" t="s">
        <v>146</v>
      </c>
      <c r="R27" s="334"/>
      <c r="S27" s="334"/>
      <c r="T27" s="336" t="s">
        <v>113</v>
      </c>
      <c r="U27" s="334">
        <v>54</v>
      </c>
      <c r="V27" s="334">
        <v>8</v>
      </c>
      <c r="W27" s="334">
        <v>16</v>
      </c>
      <c r="X27" s="334">
        <v>24</v>
      </c>
      <c r="Y27" s="1298">
        <f t="shared" si="0"/>
        <v>0.44444444444444442</v>
      </c>
      <c r="Z27" s="1298" t="s">
        <v>675</v>
      </c>
      <c r="AA27" s="1298">
        <f>48/53</f>
        <v>0.90566037735849059</v>
      </c>
      <c r="AB27" s="334">
        <v>-3</v>
      </c>
      <c r="AC27" s="334">
        <v>87</v>
      </c>
      <c r="AD27" s="334">
        <v>16</v>
      </c>
      <c r="AE27" s="334">
        <v>31</v>
      </c>
      <c r="AF27" s="337">
        <v>9.1954022988505746E-2</v>
      </c>
      <c r="AG27" s="337">
        <v>5.9701492537313432E-2</v>
      </c>
      <c r="AH27" s="338">
        <v>28.1</v>
      </c>
      <c r="AI27" s="339">
        <v>49</v>
      </c>
      <c r="AJ27" s="339">
        <v>11</v>
      </c>
      <c r="AK27" s="339">
        <v>13</v>
      </c>
      <c r="AL27" s="335">
        <v>923.21666666670001</v>
      </c>
      <c r="AM27" s="338">
        <v>17.096604938272222</v>
      </c>
      <c r="AN27" s="334">
        <v>1229</v>
      </c>
      <c r="AO27" s="338">
        <v>22.75925925925926</v>
      </c>
      <c r="AP27" s="340">
        <v>0.75119338215353948</v>
      </c>
      <c r="AQ27" s="339">
        <v>145.59663900000001</v>
      </c>
      <c r="AR27" s="340">
        <v>9.4623490404921391</v>
      </c>
      <c r="AS27" s="337">
        <v>0.1111111111111111</v>
      </c>
      <c r="AT27" s="337">
        <v>0.22222222222222221</v>
      </c>
      <c r="AU27" s="337">
        <v>0.33333333333333331</v>
      </c>
      <c r="AV27" s="334">
        <v>400</v>
      </c>
      <c r="AW27" s="334">
        <v>419</v>
      </c>
      <c r="AX27" s="341">
        <v>0.48840048840048839</v>
      </c>
      <c r="AY27" s="334">
        <v>25.7</v>
      </c>
      <c r="AZ27" s="334">
        <v>71</v>
      </c>
      <c r="BA27" s="334">
        <v>16</v>
      </c>
      <c r="BB27" s="334">
        <v>27</v>
      </c>
      <c r="BC27" s="334">
        <v>16</v>
      </c>
      <c r="BD27" s="334">
        <v>17</v>
      </c>
      <c r="BE27" s="334">
        <v>30</v>
      </c>
      <c r="BF27" s="335">
        <v>4.61430144603092</v>
      </c>
      <c r="BG27" s="338">
        <v>1.0398425793872497</v>
      </c>
      <c r="BH27" s="338">
        <v>1.7547343527159838</v>
      </c>
      <c r="BI27" s="338">
        <v>1.0398425793872497</v>
      </c>
      <c r="BJ27" s="338">
        <v>1.1048327405989529</v>
      </c>
      <c r="BK27" s="338">
        <v>1.9497048363510932</v>
      </c>
      <c r="BL27" s="334">
        <v>10</v>
      </c>
      <c r="BM27" s="334">
        <v>5</v>
      </c>
      <c r="BN27" s="334">
        <v>0</v>
      </c>
      <c r="BO27" s="334">
        <v>0</v>
      </c>
      <c r="BP27" s="334">
        <v>0</v>
      </c>
      <c r="BQ27" s="334">
        <v>0</v>
      </c>
      <c r="BR27" s="335">
        <v>-1.0944499999999999</v>
      </c>
      <c r="BS27" s="334">
        <v>9</v>
      </c>
      <c r="BT27" s="334">
        <v>2</v>
      </c>
      <c r="BU27" s="342">
        <v>0.22222222222222221</v>
      </c>
      <c r="BV27" s="334">
        <v>0</v>
      </c>
      <c r="BW27" s="334">
        <v>1</v>
      </c>
      <c r="BX27" s="334">
        <v>13</v>
      </c>
      <c r="BY27" s="334">
        <v>0</v>
      </c>
      <c r="BZ27" s="334">
        <v>0</v>
      </c>
      <c r="CA27" s="334">
        <v>1</v>
      </c>
      <c r="CB27" s="334">
        <v>0</v>
      </c>
      <c r="CC27" s="334">
        <v>0</v>
      </c>
      <c r="CD27" s="334">
        <v>0</v>
      </c>
      <c r="CE27" s="342">
        <v>0</v>
      </c>
      <c r="CF27" s="343">
        <v>5</v>
      </c>
      <c r="CG27" s="334">
        <v>1.1000000000000001</v>
      </c>
      <c r="CH27" s="334">
        <v>0.8</v>
      </c>
      <c r="CI27" s="334">
        <v>1.9</v>
      </c>
      <c r="CJ27" s="344">
        <v>3.518518518518518E-2</v>
      </c>
      <c r="CK27" s="344">
        <v>0.12348130630223589</v>
      </c>
      <c r="CL27" s="334">
        <v>20.8</v>
      </c>
      <c r="CM27" s="334">
        <v>16.399999999999999</v>
      </c>
      <c r="CN27" s="334">
        <v>6.1</v>
      </c>
      <c r="CO27" s="334">
        <v>0.60000000000000009</v>
      </c>
      <c r="CP27" s="334">
        <v>1.6</v>
      </c>
      <c r="CQ27" s="334">
        <v>-0.7</v>
      </c>
      <c r="CR27" s="334">
        <v>1.4</v>
      </c>
      <c r="CS27" s="345">
        <v>2.5925925925925925E-2</v>
      </c>
      <c r="CT27" s="345">
        <v>9.0986225696384343E-2</v>
      </c>
      <c r="CU27" s="334"/>
      <c r="CV27" s="334"/>
      <c r="CW27" s="334"/>
      <c r="CX27" s="334">
        <v>28</v>
      </c>
      <c r="CY27" s="334" t="s">
        <v>290</v>
      </c>
      <c r="CZ27" s="334">
        <v>3575000</v>
      </c>
      <c r="DA27" s="334"/>
      <c r="DB27" s="346">
        <v>-4.8780487804878057</v>
      </c>
    </row>
    <row r="28" spans="1:106" x14ac:dyDescent="0.25">
      <c r="A28" s="347">
        <v>65</v>
      </c>
      <c r="B28" s="347" t="s">
        <v>291</v>
      </c>
      <c r="C28" s="347" t="s">
        <v>292</v>
      </c>
      <c r="D28" s="347" t="s">
        <v>133</v>
      </c>
      <c r="E28" s="347" t="s">
        <v>127</v>
      </c>
      <c r="F28" s="347">
        <v>75</v>
      </c>
      <c r="G28" s="347">
        <v>190</v>
      </c>
      <c r="H28" s="347" t="s">
        <v>117</v>
      </c>
      <c r="I28" s="347"/>
      <c r="J28" s="347"/>
      <c r="K28" s="347"/>
      <c r="L28" s="347" t="s">
        <v>108</v>
      </c>
      <c r="M28" s="347">
        <v>23</v>
      </c>
      <c r="N28" s="347" t="s">
        <v>293</v>
      </c>
      <c r="O28" s="349" t="s">
        <v>294</v>
      </c>
      <c r="P28" s="349" t="s">
        <v>295</v>
      </c>
      <c r="Q28" s="347" t="s">
        <v>284</v>
      </c>
      <c r="R28" s="347"/>
      <c r="S28" s="347"/>
      <c r="T28" s="349" t="s">
        <v>138</v>
      </c>
      <c r="U28" s="347">
        <v>65</v>
      </c>
      <c r="V28" s="347">
        <v>4</v>
      </c>
      <c r="W28" s="347">
        <v>19</v>
      </c>
      <c r="X28" s="347">
        <v>23</v>
      </c>
      <c r="Y28" s="1298">
        <f t="shared" si="0"/>
        <v>0.35384615384615387</v>
      </c>
      <c r="Z28" s="1298" t="s">
        <v>669</v>
      </c>
      <c r="AA28" s="1298">
        <f>15/35</f>
        <v>0.42857142857142855</v>
      </c>
      <c r="AB28" s="347">
        <v>10</v>
      </c>
      <c r="AC28" s="347">
        <v>84</v>
      </c>
      <c r="AD28" s="347">
        <v>35</v>
      </c>
      <c r="AE28" s="347">
        <v>53</v>
      </c>
      <c r="AF28" s="350">
        <v>4.7619047619047616E-2</v>
      </c>
      <c r="AG28" s="350">
        <v>2.3255813953488372E-2</v>
      </c>
      <c r="AH28" s="351">
        <v>51.5</v>
      </c>
      <c r="AI28" s="352">
        <v>33</v>
      </c>
      <c r="AJ28" s="352">
        <v>8</v>
      </c>
      <c r="AK28" s="352">
        <v>41</v>
      </c>
      <c r="AL28" s="348">
        <v>1405.7833333333001</v>
      </c>
      <c r="AM28" s="351">
        <v>21.627435897435387</v>
      </c>
      <c r="AN28" s="347">
        <v>1955</v>
      </c>
      <c r="AO28" s="351">
        <v>30.076923076923077</v>
      </c>
      <c r="AP28" s="353">
        <v>0.71907075873826087</v>
      </c>
      <c r="AQ28" s="352">
        <v>58.926828999999998</v>
      </c>
      <c r="AR28" s="353">
        <v>2.5150459933371074</v>
      </c>
      <c r="AS28" s="350">
        <v>4.9382716049382713E-2</v>
      </c>
      <c r="AT28" s="350">
        <v>0.23456790123456789</v>
      </c>
      <c r="AU28" s="350">
        <v>0.2839506172839506</v>
      </c>
      <c r="AV28" s="347">
        <v>0</v>
      </c>
      <c r="AW28" s="347">
        <v>0</v>
      </c>
      <c r="AX28" s="354">
        <v>0</v>
      </c>
      <c r="AY28" s="347">
        <v>0</v>
      </c>
      <c r="AZ28" s="347">
        <v>110</v>
      </c>
      <c r="BA28" s="347">
        <v>64</v>
      </c>
      <c r="BB28" s="347">
        <v>116</v>
      </c>
      <c r="BC28" s="347">
        <v>35</v>
      </c>
      <c r="BD28" s="347">
        <v>36</v>
      </c>
      <c r="BE28" s="347">
        <v>13</v>
      </c>
      <c r="BF28" s="348">
        <v>4.6948913417194369</v>
      </c>
      <c r="BG28" s="351">
        <v>2.7315731442731268</v>
      </c>
      <c r="BH28" s="351">
        <v>4.9509763239950431</v>
      </c>
      <c r="BI28" s="351">
        <v>1.4938290632743663</v>
      </c>
      <c r="BJ28" s="351">
        <v>1.5365098936536339</v>
      </c>
      <c r="BK28" s="351">
        <v>0.55485079493047895</v>
      </c>
      <c r="BL28" s="347">
        <v>30</v>
      </c>
      <c r="BM28" s="347">
        <v>15</v>
      </c>
      <c r="BN28" s="347">
        <v>0</v>
      </c>
      <c r="BO28" s="347">
        <v>0</v>
      </c>
      <c r="BP28" s="347">
        <v>0</v>
      </c>
      <c r="BQ28" s="347">
        <v>0</v>
      </c>
      <c r="BR28" s="348">
        <v>5.2068640000000004</v>
      </c>
      <c r="BS28" s="347"/>
      <c r="BT28" s="347"/>
      <c r="BU28" s="355" t="s">
        <v>139</v>
      </c>
      <c r="BV28" s="347"/>
      <c r="BW28" s="347">
        <v>1</v>
      </c>
      <c r="BX28" s="347">
        <v>21</v>
      </c>
      <c r="BY28" s="347">
        <v>0</v>
      </c>
      <c r="BZ28" s="347">
        <v>1</v>
      </c>
      <c r="CA28" s="347">
        <v>0</v>
      </c>
      <c r="CB28" s="347">
        <v>0</v>
      </c>
      <c r="CC28" s="347">
        <v>0</v>
      </c>
      <c r="CD28" s="347">
        <v>0</v>
      </c>
      <c r="CE28" s="355">
        <v>0</v>
      </c>
      <c r="CF28" s="356">
        <v>5</v>
      </c>
      <c r="CG28" s="347">
        <v>1.3</v>
      </c>
      <c r="CH28" s="347">
        <v>3.8</v>
      </c>
      <c r="CI28" s="347">
        <v>5.0999999999999996</v>
      </c>
      <c r="CJ28" s="357">
        <v>7.8461538461538458E-2</v>
      </c>
      <c r="CK28" s="357">
        <v>0.2176722349342648</v>
      </c>
      <c r="CL28" s="347">
        <v>24.7</v>
      </c>
      <c r="CM28" s="347">
        <v>28.3</v>
      </c>
      <c r="CN28" s="347">
        <v>10.199999999999999</v>
      </c>
      <c r="CO28" s="347">
        <v>3.2</v>
      </c>
      <c r="CP28" s="347">
        <v>4.8</v>
      </c>
      <c r="CQ28" s="347">
        <v>0</v>
      </c>
      <c r="CR28" s="347">
        <v>8</v>
      </c>
      <c r="CS28" s="358">
        <v>0.12307692307692308</v>
      </c>
      <c r="CT28" s="358">
        <v>0.34144664303414085</v>
      </c>
      <c r="CU28" s="347"/>
      <c r="CV28" s="347"/>
      <c r="CW28" s="347"/>
      <c r="CX28" s="347">
        <v>16</v>
      </c>
      <c r="CY28" s="347" t="s">
        <v>296</v>
      </c>
      <c r="CZ28" s="347">
        <v>1350000</v>
      </c>
      <c r="DA28" s="347"/>
      <c r="DB28" s="359">
        <v>5.6292682926829265</v>
      </c>
    </row>
    <row r="29" spans="1:106" x14ac:dyDescent="0.25">
      <c r="A29" s="360">
        <v>12</v>
      </c>
      <c r="B29" s="360" t="s">
        <v>297</v>
      </c>
      <c r="C29" s="360" t="s">
        <v>298</v>
      </c>
      <c r="D29" s="360"/>
      <c r="E29" s="360" t="s">
        <v>299</v>
      </c>
      <c r="F29" s="360">
        <v>72</v>
      </c>
      <c r="G29" s="360">
        <v>195</v>
      </c>
      <c r="H29" s="360" t="s">
        <v>117</v>
      </c>
      <c r="I29" s="360"/>
      <c r="J29" s="360"/>
      <c r="K29" s="360"/>
      <c r="L29" s="360" t="s">
        <v>108</v>
      </c>
      <c r="M29" s="360">
        <v>25</v>
      </c>
      <c r="N29" s="360" t="s">
        <v>300</v>
      </c>
      <c r="O29" s="362" t="s">
        <v>301</v>
      </c>
      <c r="P29" s="362" t="s">
        <v>302</v>
      </c>
      <c r="Q29" s="360" t="s">
        <v>303</v>
      </c>
      <c r="R29" s="360"/>
      <c r="S29" s="360"/>
      <c r="T29" s="362" t="s">
        <v>122</v>
      </c>
      <c r="U29" s="360">
        <v>68</v>
      </c>
      <c r="V29" s="360">
        <v>9</v>
      </c>
      <c r="W29" s="360">
        <v>13</v>
      </c>
      <c r="X29" s="360">
        <v>22</v>
      </c>
      <c r="Y29" s="1298">
        <f t="shared" si="0"/>
        <v>0.3235294117647059</v>
      </c>
      <c r="Z29" s="1298" t="s">
        <v>673</v>
      </c>
      <c r="AA29" s="1298">
        <f>46/49</f>
        <v>0.93877551020408168</v>
      </c>
      <c r="AB29" s="360">
        <v>2</v>
      </c>
      <c r="AC29" s="360">
        <v>101</v>
      </c>
      <c r="AD29" s="360">
        <v>47</v>
      </c>
      <c r="AE29" s="360">
        <v>39</v>
      </c>
      <c r="AF29" s="363">
        <v>8.9108910891089105E-2</v>
      </c>
      <c r="AG29" s="363">
        <v>4.8128342245989303E-2</v>
      </c>
      <c r="AH29" s="364">
        <v>30.3</v>
      </c>
      <c r="AI29" s="365">
        <v>48</v>
      </c>
      <c r="AJ29" s="365">
        <v>25</v>
      </c>
      <c r="AK29" s="365">
        <v>4</v>
      </c>
      <c r="AL29" s="361">
        <v>883.38333333330002</v>
      </c>
      <c r="AM29" s="364">
        <v>12.99093137254853</v>
      </c>
      <c r="AN29" s="360">
        <v>1292</v>
      </c>
      <c r="AO29" s="364">
        <v>19</v>
      </c>
      <c r="AP29" s="366">
        <v>0.68373323013413312</v>
      </c>
      <c r="AQ29" s="365">
        <v>120.333333</v>
      </c>
      <c r="AR29" s="366">
        <v>8.1731222534576595</v>
      </c>
      <c r="AS29" s="363">
        <v>8.6538461538461536E-2</v>
      </c>
      <c r="AT29" s="363">
        <v>0.125</v>
      </c>
      <c r="AU29" s="363">
        <v>0.21153846153846154</v>
      </c>
      <c r="AV29" s="360">
        <v>52</v>
      </c>
      <c r="AW29" s="360">
        <v>41</v>
      </c>
      <c r="AX29" s="367">
        <v>0.55913978494623651</v>
      </c>
      <c r="AY29" s="360">
        <v>2.2000000000000002</v>
      </c>
      <c r="AZ29" s="360">
        <v>113</v>
      </c>
      <c r="BA29" s="360">
        <v>113</v>
      </c>
      <c r="BB29" s="360">
        <v>44</v>
      </c>
      <c r="BC29" s="360">
        <v>47</v>
      </c>
      <c r="BD29" s="360">
        <v>21</v>
      </c>
      <c r="BE29" s="360">
        <v>25</v>
      </c>
      <c r="BF29" s="361">
        <v>7.6750372620420606</v>
      </c>
      <c r="BG29" s="364">
        <v>7.6750372620420606</v>
      </c>
      <c r="BH29" s="364">
        <v>2.9885100843349619</v>
      </c>
      <c r="BI29" s="364">
        <v>3.1922721355396182</v>
      </c>
      <c r="BJ29" s="364">
        <v>1.4263343584325954</v>
      </c>
      <c r="BK29" s="364">
        <v>1.6980170933721372</v>
      </c>
      <c r="BL29" s="360">
        <v>28</v>
      </c>
      <c r="BM29" s="360">
        <v>14</v>
      </c>
      <c r="BN29" s="360">
        <v>0</v>
      </c>
      <c r="BO29" s="360">
        <v>0</v>
      </c>
      <c r="BP29" s="360">
        <v>0</v>
      </c>
      <c r="BQ29" s="360">
        <v>0</v>
      </c>
      <c r="BR29" s="361">
        <v>3.3941439999999998</v>
      </c>
      <c r="BS29" s="360">
        <v>3</v>
      </c>
      <c r="BT29" s="360">
        <v>1</v>
      </c>
      <c r="BU29" s="368">
        <v>0.33333333333333331</v>
      </c>
      <c r="BV29" s="360">
        <v>1</v>
      </c>
      <c r="BW29" s="360">
        <v>2</v>
      </c>
      <c r="BX29" s="360">
        <v>15</v>
      </c>
      <c r="BY29" s="360">
        <v>0</v>
      </c>
      <c r="BZ29" s="360">
        <v>0</v>
      </c>
      <c r="CA29" s="360">
        <v>3</v>
      </c>
      <c r="CB29" s="360">
        <v>0</v>
      </c>
      <c r="CC29" s="360">
        <v>0</v>
      </c>
      <c r="CD29" s="360">
        <v>0</v>
      </c>
      <c r="CE29" s="368">
        <v>0</v>
      </c>
      <c r="CF29" s="369">
        <v>7</v>
      </c>
      <c r="CG29" s="360">
        <v>1</v>
      </c>
      <c r="CH29" s="360">
        <v>1</v>
      </c>
      <c r="CI29" s="360">
        <v>2</v>
      </c>
      <c r="CJ29" s="370">
        <v>2.9411764705882353E-2</v>
      </c>
      <c r="CK29" s="370">
        <v>0.13584136746977099</v>
      </c>
      <c r="CL29" s="360">
        <v>15.6</v>
      </c>
      <c r="CM29" s="360">
        <v>17.7</v>
      </c>
      <c r="CN29" s="360">
        <v>1.1000000000000001</v>
      </c>
      <c r="CO29" s="360">
        <v>2.2000000000000002</v>
      </c>
      <c r="CP29" s="360">
        <v>2.2999999999999998</v>
      </c>
      <c r="CQ29" s="360">
        <v>0</v>
      </c>
      <c r="CR29" s="360">
        <v>4.5999999999999996</v>
      </c>
      <c r="CS29" s="371">
        <v>6.7647058823529407E-2</v>
      </c>
      <c r="CT29" s="371">
        <v>0.31243514518047322</v>
      </c>
      <c r="CU29" s="360"/>
      <c r="CV29" s="360"/>
      <c r="CW29" s="360"/>
      <c r="CX29" s="360">
        <v>3</v>
      </c>
      <c r="CY29" s="360" t="s">
        <v>304</v>
      </c>
      <c r="CZ29" s="360">
        <v>925000</v>
      </c>
      <c r="DA29" s="360"/>
      <c r="DB29" s="372">
        <v>2.975609756097561</v>
      </c>
    </row>
    <row r="30" spans="1:106" ht="26.25" x14ac:dyDescent="0.25">
      <c r="A30" s="373">
        <v>28</v>
      </c>
      <c r="B30" s="373" t="s">
        <v>305</v>
      </c>
      <c r="C30" s="373" t="s">
        <v>306</v>
      </c>
      <c r="D30" s="373"/>
      <c r="E30" s="373" t="s">
        <v>307</v>
      </c>
      <c r="F30" s="373">
        <v>73</v>
      </c>
      <c r="G30" s="373">
        <v>190</v>
      </c>
      <c r="H30" s="373" t="s">
        <v>117</v>
      </c>
      <c r="I30" s="373">
        <v>2012</v>
      </c>
      <c r="J30" s="373">
        <v>1</v>
      </c>
      <c r="K30" s="373">
        <v>14</v>
      </c>
      <c r="L30" s="373" t="s">
        <v>108</v>
      </c>
      <c r="M30" s="373">
        <v>20</v>
      </c>
      <c r="N30" s="373" t="s">
        <v>308</v>
      </c>
      <c r="O30" s="375" t="s">
        <v>309</v>
      </c>
      <c r="P30" s="375" t="s">
        <v>310</v>
      </c>
      <c r="Q30" s="373" t="s">
        <v>311</v>
      </c>
      <c r="R30" s="373"/>
      <c r="S30" s="373"/>
      <c r="T30" s="375" t="s">
        <v>238</v>
      </c>
      <c r="U30" s="373">
        <v>70</v>
      </c>
      <c r="V30" s="373">
        <v>8</v>
      </c>
      <c r="W30" s="373">
        <v>14</v>
      </c>
      <c r="X30" s="373">
        <v>22</v>
      </c>
      <c r="Y30" s="1298">
        <f t="shared" si="0"/>
        <v>0.31428571428571428</v>
      </c>
      <c r="Z30" s="1298" t="s">
        <v>668</v>
      </c>
      <c r="AA30" s="1298">
        <f>17/61</f>
        <v>0.27868852459016391</v>
      </c>
      <c r="AB30" s="373">
        <v>-6</v>
      </c>
      <c r="AC30" s="373">
        <v>115</v>
      </c>
      <c r="AD30" s="373">
        <v>45</v>
      </c>
      <c r="AE30" s="373">
        <v>31</v>
      </c>
      <c r="AF30" s="376">
        <v>6.9565217391304349E-2</v>
      </c>
      <c r="AG30" s="376">
        <v>4.1884816753926704E-2</v>
      </c>
      <c r="AH30" s="377">
        <v>26.1</v>
      </c>
      <c r="AI30" s="378">
        <v>54</v>
      </c>
      <c r="AJ30" s="378">
        <v>18</v>
      </c>
      <c r="AK30" s="378">
        <v>7</v>
      </c>
      <c r="AL30" s="374">
        <v>1072.1166666667</v>
      </c>
      <c r="AM30" s="377">
        <v>15.315952380952856</v>
      </c>
      <c r="AN30" s="373">
        <v>1463</v>
      </c>
      <c r="AO30" s="377">
        <v>20.9</v>
      </c>
      <c r="AP30" s="379">
        <v>0.7328206880838688</v>
      </c>
      <c r="AQ30" s="378">
        <v>112.583333</v>
      </c>
      <c r="AR30" s="379">
        <v>6.3006202496616881</v>
      </c>
      <c r="AS30" s="376">
        <v>0.12121212121212122</v>
      </c>
      <c r="AT30" s="376">
        <v>0.21212121212121213</v>
      </c>
      <c r="AU30" s="376">
        <v>0.33333333333333337</v>
      </c>
      <c r="AV30" s="373">
        <v>100</v>
      </c>
      <c r="AW30" s="373">
        <v>140</v>
      </c>
      <c r="AX30" s="380">
        <v>0.41666666666666669</v>
      </c>
      <c r="AY30" s="373">
        <v>5.7</v>
      </c>
      <c r="AZ30" s="373">
        <v>118</v>
      </c>
      <c r="BA30" s="373">
        <v>161</v>
      </c>
      <c r="BB30" s="373">
        <v>43</v>
      </c>
      <c r="BC30" s="373">
        <v>45</v>
      </c>
      <c r="BD30" s="373">
        <v>15</v>
      </c>
      <c r="BE30" s="373">
        <v>25</v>
      </c>
      <c r="BF30" s="374">
        <v>6.6037589192716402</v>
      </c>
      <c r="BG30" s="377">
        <v>9.0102134407011363</v>
      </c>
      <c r="BH30" s="377">
        <v>2.4064545214294961</v>
      </c>
      <c r="BI30" s="377">
        <v>2.5183826387052868</v>
      </c>
      <c r="BJ30" s="377">
        <v>0.83946087956842885</v>
      </c>
      <c r="BK30" s="377">
        <v>1.3991014659473815</v>
      </c>
      <c r="BL30" s="373">
        <v>14</v>
      </c>
      <c r="BM30" s="373">
        <v>6</v>
      </c>
      <c r="BN30" s="373">
        <v>0</v>
      </c>
      <c r="BO30" s="373">
        <v>0</v>
      </c>
      <c r="BP30" s="373">
        <v>0</v>
      </c>
      <c r="BQ30" s="373">
        <v>0</v>
      </c>
      <c r="BR30" s="374">
        <v>9.1029280000000004</v>
      </c>
      <c r="BS30" s="373">
        <v>4</v>
      </c>
      <c r="BT30" s="373">
        <v>1</v>
      </c>
      <c r="BU30" s="381">
        <v>0.25</v>
      </c>
      <c r="BV30" s="373">
        <v>1</v>
      </c>
      <c r="BW30" s="373">
        <v>2</v>
      </c>
      <c r="BX30" s="373">
        <v>20</v>
      </c>
      <c r="BY30" s="373">
        <v>0</v>
      </c>
      <c r="BZ30" s="373">
        <v>0</v>
      </c>
      <c r="CA30" s="373">
        <v>1</v>
      </c>
      <c r="CB30" s="373">
        <v>0</v>
      </c>
      <c r="CC30" s="373">
        <v>0</v>
      </c>
      <c r="CD30" s="373">
        <v>1</v>
      </c>
      <c r="CE30" s="381">
        <v>1</v>
      </c>
      <c r="CF30" s="382">
        <v>6</v>
      </c>
      <c r="CG30" s="373">
        <v>0.4</v>
      </c>
      <c r="CH30" s="373">
        <v>1.4</v>
      </c>
      <c r="CI30" s="373">
        <v>1.8</v>
      </c>
      <c r="CJ30" s="383">
        <v>2.5714285714285714E-2</v>
      </c>
      <c r="CK30" s="383">
        <v>0.10073530554821146</v>
      </c>
      <c r="CL30" s="373">
        <v>21.6</v>
      </c>
      <c r="CM30" s="373">
        <v>24.8</v>
      </c>
      <c r="CN30" s="373">
        <v>8.1999999999999993</v>
      </c>
      <c r="CO30" s="373">
        <v>-0.60000000000000009</v>
      </c>
      <c r="CP30" s="373">
        <v>3.1</v>
      </c>
      <c r="CQ30" s="373">
        <v>-0.2</v>
      </c>
      <c r="CR30" s="373">
        <v>2.2000000000000002</v>
      </c>
      <c r="CS30" s="384">
        <v>3.1428571428571431E-2</v>
      </c>
      <c r="CT30" s="384">
        <v>0.12312092900336957</v>
      </c>
      <c r="CU30" s="373"/>
      <c r="CV30" s="373"/>
      <c r="CW30" s="373"/>
      <c r="CX30" s="373">
        <v>12</v>
      </c>
      <c r="CY30" s="373" t="s">
        <v>312</v>
      </c>
      <c r="CZ30" s="373">
        <v>1369167</v>
      </c>
      <c r="DA30" s="373"/>
      <c r="DB30" s="385">
        <v>-0.20439082926829233</v>
      </c>
    </row>
    <row r="31" spans="1:106" x14ac:dyDescent="0.25">
      <c r="A31" s="386">
        <v>7</v>
      </c>
      <c r="B31" s="386" t="s">
        <v>313</v>
      </c>
      <c r="C31" s="386" t="s">
        <v>314</v>
      </c>
      <c r="D31" s="386"/>
      <c r="E31" s="386" t="s">
        <v>116</v>
      </c>
      <c r="F31" s="386">
        <v>72</v>
      </c>
      <c r="G31" s="386">
        <v>204</v>
      </c>
      <c r="H31" s="386" t="s">
        <v>107</v>
      </c>
      <c r="I31" s="386">
        <v>2010</v>
      </c>
      <c r="J31" s="386">
        <v>3</v>
      </c>
      <c r="K31" s="386">
        <v>66</v>
      </c>
      <c r="L31" s="386" t="s">
        <v>108</v>
      </c>
      <c r="M31" s="386">
        <v>23</v>
      </c>
      <c r="N31" s="386" t="s">
        <v>315</v>
      </c>
      <c r="O31" s="388" t="s">
        <v>316</v>
      </c>
      <c r="P31" s="388" t="s">
        <v>317</v>
      </c>
      <c r="Q31" s="386" t="s">
        <v>121</v>
      </c>
      <c r="R31" s="386"/>
      <c r="S31" s="386"/>
      <c r="T31" s="388" t="s">
        <v>138</v>
      </c>
      <c r="U31" s="386">
        <v>73</v>
      </c>
      <c r="V31" s="386">
        <v>3</v>
      </c>
      <c r="W31" s="386">
        <v>19</v>
      </c>
      <c r="X31" s="386">
        <v>22</v>
      </c>
      <c r="Y31" s="1298">
        <f t="shared" si="0"/>
        <v>0.30136986301369861</v>
      </c>
      <c r="Z31" s="1298" t="s">
        <v>668</v>
      </c>
      <c r="AA31" s="1298">
        <f>20/57</f>
        <v>0.35087719298245612</v>
      </c>
      <c r="AB31" s="386">
        <v>2</v>
      </c>
      <c r="AC31" s="386">
        <v>114</v>
      </c>
      <c r="AD31" s="386">
        <v>52</v>
      </c>
      <c r="AE31" s="386">
        <v>85</v>
      </c>
      <c r="AF31" s="389">
        <v>2.6315789473684209E-2</v>
      </c>
      <c r="AG31" s="389">
        <v>1.1952191235059761E-2</v>
      </c>
      <c r="AH31" s="390">
        <v>53.3</v>
      </c>
      <c r="AI31" s="391">
        <v>46</v>
      </c>
      <c r="AJ31" s="391">
        <v>13</v>
      </c>
      <c r="AK31" s="391">
        <v>46</v>
      </c>
      <c r="AL31" s="387">
        <v>1395.8666666667</v>
      </c>
      <c r="AM31" s="390">
        <v>19.121461187215068</v>
      </c>
      <c r="AN31" s="386">
        <v>1748</v>
      </c>
      <c r="AO31" s="390">
        <v>23.945205479452056</v>
      </c>
      <c r="AP31" s="392">
        <v>0.79855072463770027</v>
      </c>
      <c r="AQ31" s="391">
        <v>94.09</v>
      </c>
      <c r="AR31" s="392">
        <v>4.0443690896932845</v>
      </c>
      <c r="AS31" s="389">
        <v>2.8846153846153848E-2</v>
      </c>
      <c r="AT31" s="389">
        <v>0.18269230769230768</v>
      </c>
      <c r="AU31" s="389">
        <v>0.21153846153846154</v>
      </c>
      <c r="AV31" s="386">
        <v>0</v>
      </c>
      <c r="AW31" s="386">
        <v>0</v>
      </c>
      <c r="AX31" s="393">
        <v>0</v>
      </c>
      <c r="AY31" s="386">
        <v>0</v>
      </c>
      <c r="AZ31" s="386">
        <v>98</v>
      </c>
      <c r="BA31" s="386">
        <v>273</v>
      </c>
      <c r="BB31" s="386">
        <v>138</v>
      </c>
      <c r="BC31" s="386">
        <v>52</v>
      </c>
      <c r="BD31" s="386">
        <v>36</v>
      </c>
      <c r="BE31" s="386">
        <v>13</v>
      </c>
      <c r="BF31" s="387">
        <v>4.2124367179290232</v>
      </c>
      <c r="BG31" s="390">
        <v>11.734645142802281</v>
      </c>
      <c r="BH31" s="390">
        <v>5.9317986436143393</v>
      </c>
      <c r="BI31" s="390">
        <v>2.2351705033909104</v>
      </c>
      <c r="BJ31" s="390">
        <v>1.5474257331167842</v>
      </c>
      <c r="BK31" s="390">
        <v>0.5587926258477276</v>
      </c>
      <c r="BL31" s="386">
        <v>152</v>
      </c>
      <c r="BM31" s="386">
        <v>41</v>
      </c>
      <c r="BN31" s="386">
        <v>4</v>
      </c>
      <c r="BO31" s="386">
        <v>3</v>
      </c>
      <c r="BP31" s="386">
        <v>1</v>
      </c>
      <c r="BQ31" s="386">
        <v>1</v>
      </c>
      <c r="BR31" s="387">
        <v>-15.549533</v>
      </c>
      <c r="BS31" s="386"/>
      <c r="BT31" s="386"/>
      <c r="BU31" s="394" t="s">
        <v>139</v>
      </c>
      <c r="BV31" s="386"/>
      <c r="BW31" s="386">
        <v>1</v>
      </c>
      <c r="BX31" s="386">
        <v>21</v>
      </c>
      <c r="BY31" s="386">
        <v>1</v>
      </c>
      <c r="BZ31" s="386">
        <v>1</v>
      </c>
      <c r="CA31" s="386">
        <v>1</v>
      </c>
      <c r="CB31" s="386">
        <v>0</v>
      </c>
      <c r="CC31" s="386">
        <v>0</v>
      </c>
      <c r="CD31" s="386">
        <v>0</v>
      </c>
      <c r="CE31" s="394">
        <v>0</v>
      </c>
      <c r="CF31" s="395">
        <v>7</v>
      </c>
      <c r="CG31" s="386">
        <v>1.1000000000000001</v>
      </c>
      <c r="CH31" s="386">
        <v>2.7</v>
      </c>
      <c r="CI31" s="386">
        <v>3.8</v>
      </c>
      <c r="CJ31" s="396">
        <v>5.205479452054794E-2</v>
      </c>
      <c r="CK31" s="396">
        <v>0.16333938294010497</v>
      </c>
      <c r="CL31" s="386">
        <v>25.8</v>
      </c>
      <c r="CM31" s="386">
        <v>30.3</v>
      </c>
      <c r="CN31" s="386">
        <v>-5.8</v>
      </c>
      <c r="CO31" s="386">
        <v>2.2000000000000002</v>
      </c>
      <c r="CP31" s="386">
        <v>3.1</v>
      </c>
      <c r="CQ31" s="386">
        <v>0</v>
      </c>
      <c r="CR31" s="386">
        <v>5.3</v>
      </c>
      <c r="CS31" s="397">
        <v>7.260273972602739E-2</v>
      </c>
      <c r="CT31" s="397">
        <v>0.22781545515330431</v>
      </c>
      <c r="CU31" s="386"/>
      <c r="CV31" s="386"/>
      <c r="CW31" s="386"/>
      <c r="CX31" s="386">
        <v>9</v>
      </c>
      <c r="CY31" s="386" t="s">
        <v>123</v>
      </c>
      <c r="CZ31" s="386">
        <v>991667</v>
      </c>
      <c r="DA31" s="386"/>
      <c r="DB31" s="398">
        <v>3.5585359999999997</v>
      </c>
    </row>
    <row r="32" spans="1:106" x14ac:dyDescent="0.25">
      <c r="A32" s="399">
        <v>14</v>
      </c>
      <c r="B32" s="399" t="s">
        <v>318</v>
      </c>
      <c r="C32" s="399" t="s">
        <v>319</v>
      </c>
      <c r="D32" s="399" t="s">
        <v>234</v>
      </c>
      <c r="E32" s="399" t="s">
        <v>106</v>
      </c>
      <c r="F32" s="399">
        <v>70</v>
      </c>
      <c r="G32" s="399">
        <v>177</v>
      </c>
      <c r="H32" s="399" t="s">
        <v>107</v>
      </c>
      <c r="I32" s="399"/>
      <c r="J32" s="399"/>
      <c r="K32" s="399"/>
      <c r="L32" s="399" t="s">
        <v>108</v>
      </c>
      <c r="M32" s="399">
        <v>26</v>
      </c>
      <c r="N32" s="399" t="s">
        <v>320</v>
      </c>
      <c r="O32" s="401" t="s">
        <v>321</v>
      </c>
      <c r="P32" s="401" t="s">
        <v>322</v>
      </c>
      <c r="Q32" s="399" t="s">
        <v>323</v>
      </c>
      <c r="R32" s="399"/>
      <c r="S32" s="399"/>
      <c r="T32" s="401" t="s">
        <v>180</v>
      </c>
      <c r="U32" s="399">
        <v>66</v>
      </c>
      <c r="V32" s="399">
        <v>13</v>
      </c>
      <c r="W32" s="399">
        <v>8</v>
      </c>
      <c r="X32" s="399">
        <v>21</v>
      </c>
      <c r="Y32" s="1298">
        <f t="shared" si="0"/>
        <v>0.31818181818181818</v>
      </c>
      <c r="Z32" s="1298" t="s">
        <v>668</v>
      </c>
      <c r="AA32" s="1298">
        <f>56/64</f>
        <v>0.875</v>
      </c>
      <c r="AB32" s="399">
        <v>6</v>
      </c>
      <c r="AC32" s="399">
        <v>79</v>
      </c>
      <c r="AD32" s="399">
        <v>33</v>
      </c>
      <c r="AE32" s="399">
        <v>29</v>
      </c>
      <c r="AF32" s="402">
        <v>0.16455696202531644</v>
      </c>
      <c r="AG32" s="402">
        <v>9.2198581560283682E-2</v>
      </c>
      <c r="AH32" s="403">
        <v>31.2</v>
      </c>
      <c r="AI32" s="404">
        <v>36</v>
      </c>
      <c r="AJ32" s="404">
        <v>11</v>
      </c>
      <c r="AK32" s="404">
        <v>9</v>
      </c>
      <c r="AL32" s="400">
        <v>809.01666666669996</v>
      </c>
      <c r="AM32" s="403">
        <v>12.257828282828788</v>
      </c>
      <c r="AN32" s="399">
        <v>1151</v>
      </c>
      <c r="AO32" s="403">
        <v>17.439393939393938</v>
      </c>
      <c r="AP32" s="405">
        <v>0.70288155227341442</v>
      </c>
      <c r="AQ32" s="404">
        <v>56</v>
      </c>
      <c r="AR32" s="405">
        <v>4.1531900867306337</v>
      </c>
      <c r="AS32" s="402">
        <v>0.11607142857142858</v>
      </c>
      <c r="AT32" s="402">
        <v>7.1428571428571425E-2</v>
      </c>
      <c r="AU32" s="402">
        <v>0.1875</v>
      </c>
      <c r="AV32" s="399">
        <v>2</v>
      </c>
      <c r="AW32" s="399">
        <v>0</v>
      </c>
      <c r="AX32" s="406">
        <v>1</v>
      </c>
      <c r="AY32" s="399">
        <v>0</v>
      </c>
      <c r="AZ32" s="399">
        <v>49</v>
      </c>
      <c r="BA32" s="399">
        <v>9</v>
      </c>
      <c r="BB32" s="399">
        <v>23</v>
      </c>
      <c r="BC32" s="399">
        <v>33</v>
      </c>
      <c r="BD32" s="399">
        <v>14</v>
      </c>
      <c r="BE32" s="399">
        <v>24</v>
      </c>
      <c r="BF32" s="400">
        <v>3.6340413258893047</v>
      </c>
      <c r="BG32" s="403">
        <v>0.6674769782245662</v>
      </c>
      <c r="BH32" s="403">
        <v>1.7057744999072249</v>
      </c>
      <c r="BI32" s="403">
        <v>2.4474155868234093</v>
      </c>
      <c r="BJ32" s="403">
        <v>1.0382975216826584</v>
      </c>
      <c r="BK32" s="403">
        <v>1.7799386085988431</v>
      </c>
      <c r="BL32" s="399">
        <v>26</v>
      </c>
      <c r="BM32" s="399">
        <v>13</v>
      </c>
      <c r="BN32" s="399">
        <v>0</v>
      </c>
      <c r="BO32" s="399">
        <v>0</v>
      </c>
      <c r="BP32" s="399">
        <v>0</v>
      </c>
      <c r="BQ32" s="399">
        <v>0</v>
      </c>
      <c r="BR32" s="400">
        <v>-4.2135220000000002</v>
      </c>
      <c r="BS32" s="399">
        <v>1</v>
      </c>
      <c r="BT32" s="399">
        <v>1</v>
      </c>
      <c r="BU32" s="407">
        <v>1</v>
      </c>
      <c r="BV32" s="399">
        <v>1</v>
      </c>
      <c r="BW32" s="399">
        <v>4</v>
      </c>
      <c r="BX32" s="399">
        <v>18</v>
      </c>
      <c r="BY32" s="399">
        <v>0</v>
      </c>
      <c r="BZ32" s="399">
        <v>0</v>
      </c>
      <c r="CA32" s="399">
        <v>1</v>
      </c>
      <c r="CB32" s="399">
        <v>1</v>
      </c>
      <c r="CC32" s="399">
        <v>0</v>
      </c>
      <c r="CD32" s="399">
        <v>0</v>
      </c>
      <c r="CE32" s="407">
        <v>0</v>
      </c>
      <c r="CF32" s="408">
        <v>3</v>
      </c>
      <c r="CG32" s="399">
        <v>1.5</v>
      </c>
      <c r="CH32" s="399">
        <v>1.2</v>
      </c>
      <c r="CI32" s="399">
        <v>2.7</v>
      </c>
      <c r="CJ32" s="409">
        <v>4.0909090909090909E-2</v>
      </c>
      <c r="CK32" s="409">
        <v>0.20024309346736985</v>
      </c>
      <c r="CL32" s="399">
        <v>14.8</v>
      </c>
      <c r="CM32" s="399">
        <v>13.8</v>
      </c>
      <c r="CN32" s="399">
        <v>4.5999999999999996</v>
      </c>
      <c r="CO32" s="399">
        <v>2.6</v>
      </c>
      <c r="CP32" s="399">
        <v>2.5</v>
      </c>
      <c r="CQ32" s="399">
        <v>0.60000000000000009</v>
      </c>
      <c r="CR32" s="399">
        <v>5.7</v>
      </c>
      <c r="CS32" s="410">
        <v>8.6363636363636365E-2</v>
      </c>
      <c r="CT32" s="410">
        <v>0.42273541954222521</v>
      </c>
      <c r="CU32" s="399"/>
      <c r="CV32" s="399"/>
      <c r="CW32" s="399"/>
      <c r="CX32" s="399">
        <v>2</v>
      </c>
      <c r="CY32" s="399" t="s">
        <v>324</v>
      </c>
      <c r="CZ32" s="399">
        <v>600000</v>
      </c>
      <c r="DA32" s="399"/>
      <c r="DB32" s="411">
        <v>4.6463414634146343</v>
      </c>
    </row>
    <row r="33" spans="1:106" x14ac:dyDescent="0.25">
      <c r="A33" s="412">
        <v>16</v>
      </c>
      <c r="B33" s="412" t="s">
        <v>325</v>
      </c>
      <c r="C33" s="412" t="s">
        <v>326</v>
      </c>
      <c r="D33" s="412"/>
      <c r="E33" s="412" t="s">
        <v>190</v>
      </c>
      <c r="F33" s="412">
        <v>73</v>
      </c>
      <c r="G33" s="412">
        <v>192</v>
      </c>
      <c r="H33" s="412" t="s">
        <v>107</v>
      </c>
      <c r="I33" s="412">
        <v>2013</v>
      </c>
      <c r="J33" s="412">
        <v>1</v>
      </c>
      <c r="K33" s="412">
        <v>5</v>
      </c>
      <c r="L33" s="412" t="s">
        <v>108</v>
      </c>
      <c r="M33" s="412">
        <v>19</v>
      </c>
      <c r="N33" s="412" t="s">
        <v>327</v>
      </c>
      <c r="O33" s="414" t="s">
        <v>328</v>
      </c>
      <c r="P33" s="414" t="s">
        <v>193</v>
      </c>
      <c r="Q33" s="412" t="s">
        <v>329</v>
      </c>
      <c r="R33" s="412"/>
      <c r="S33" s="412"/>
      <c r="T33" s="414" t="s">
        <v>113</v>
      </c>
      <c r="U33" s="412">
        <v>58</v>
      </c>
      <c r="V33" s="412">
        <v>9</v>
      </c>
      <c r="W33" s="412">
        <v>12</v>
      </c>
      <c r="X33" s="412">
        <v>21</v>
      </c>
      <c r="Y33" s="1298">
        <f t="shared" si="0"/>
        <v>0.36206896551724138</v>
      </c>
      <c r="Z33" s="1298" t="s">
        <v>673</v>
      </c>
      <c r="AA33" s="1298">
        <f>30/48</f>
        <v>0.625</v>
      </c>
      <c r="AB33" s="412">
        <v>-14</v>
      </c>
      <c r="AC33" s="412">
        <v>70</v>
      </c>
      <c r="AD33" s="412">
        <v>29</v>
      </c>
      <c r="AE33" s="412">
        <v>31</v>
      </c>
      <c r="AF33" s="415">
        <v>0.12857142857142856</v>
      </c>
      <c r="AG33" s="415">
        <v>6.9230769230769235E-2</v>
      </c>
      <c r="AH33" s="416">
        <v>25.6</v>
      </c>
      <c r="AI33" s="417">
        <v>41</v>
      </c>
      <c r="AJ33" s="417">
        <v>12</v>
      </c>
      <c r="AK33" s="417">
        <v>4</v>
      </c>
      <c r="AL33" s="413">
        <v>842.5</v>
      </c>
      <c r="AM33" s="416">
        <v>14.525862068965518</v>
      </c>
      <c r="AN33" s="412">
        <v>1162</v>
      </c>
      <c r="AO33" s="416">
        <v>20.03448275862069</v>
      </c>
      <c r="AP33" s="418">
        <v>0.72504302925989672</v>
      </c>
      <c r="AQ33" s="417">
        <v>86.586956999999998</v>
      </c>
      <c r="AR33" s="418">
        <v>6.1664301721068249</v>
      </c>
      <c r="AS33" s="415">
        <v>0.10975609756097561</v>
      </c>
      <c r="AT33" s="415">
        <v>0.14634146341463414</v>
      </c>
      <c r="AU33" s="415">
        <v>0.25609756097560976</v>
      </c>
      <c r="AV33" s="412">
        <v>106</v>
      </c>
      <c r="AW33" s="412">
        <v>123</v>
      </c>
      <c r="AX33" s="419">
        <v>0.46288209606986902</v>
      </c>
      <c r="AY33" s="412">
        <v>6.5</v>
      </c>
      <c r="AZ33" s="412">
        <v>64</v>
      </c>
      <c r="BA33" s="412">
        <v>51</v>
      </c>
      <c r="BB33" s="412">
        <v>17</v>
      </c>
      <c r="BC33" s="412">
        <v>29</v>
      </c>
      <c r="BD33" s="412">
        <v>28</v>
      </c>
      <c r="BE33" s="412">
        <v>37</v>
      </c>
      <c r="BF33" s="413">
        <v>4.5578635014836797</v>
      </c>
      <c r="BG33" s="416">
        <v>3.6320474777448069</v>
      </c>
      <c r="BH33" s="416">
        <v>1.2106824925816024</v>
      </c>
      <c r="BI33" s="416">
        <v>2.0652818991097921</v>
      </c>
      <c r="BJ33" s="416">
        <v>1.9940652818991096</v>
      </c>
      <c r="BK33" s="416">
        <v>2.6350148367952522</v>
      </c>
      <c r="BL33" s="412">
        <v>4</v>
      </c>
      <c r="BM33" s="412">
        <v>2</v>
      </c>
      <c r="BN33" s="412">
        <v>0</v>
      </c>
      <c r="BO33" s="412">
        <v>0</v>
      </c>
      <c r="BP33" s="412">
        <v>0</v>
      </c>
      <c r="BQ33" s="412">
        <v>0</v>
      </c>
      <c r="BR33" s="413">
        <v>5.9638999999999998E-2</v>
      </c>
      <c r="BS33" s="412">
        <v>1</v>
      </c>
      <c r="BT33" s="412">
        <v>0</v>
      </c>
      <c r="BU33" s="420">
        <v>0</v>
      </c>
      <c r="BV33" s="412">
        <v>0</v>
      </c>
      <c r="BW33" s="412">
        <v>1</v>
      </c>
      <c r="BX33" s="412">
        <v>10</v>
      </c>
      <c r="BY33" s="412">
        <v>0</v>
      </c>
      <c r="BZ33" s="412">
        <v>1</v>
      </c>
      <c r="CA33" s="412">
        <v>2</v>
      </c>
      <c r="CB33" s="412">
        <v>0</v>
      </c>
      <c r="CC33" s="412">
        <v>0</v>
      </c>
      <c r="CD33" s="412">
        <v>0</v>
      </c>
      <c r="CE33" s="420">
        <v>0</v>
      </c>
      <c r="CF33" s="421">
        <v>2</v>
      </c>
      <c r="CG33" s="412">
        <v>1.1000000000000001</v>
      </c>
      <c r="CH33" s="412">
        <v>0.4</v>
      </c>
      <c r="CI33" s="412">
        <v>1.5</v>
      </c>
      <c r="CJ33" s="422">
        <v>2.5862068965517241E-2</v>
      </c>
      <c r="CK33" s="422">
        <v>0.10682492581602374</v>
      </c>
      <c r="CL33" s="412">
        <v>20.5</v>
      </c>
      <c r="CM33" s="412">
        <v>16.100000000000001</v>
      </c>
      <c r="CN33" s="412">
        <v>-8.1999999999999993</v>
      </c>
      <c r="CO33" s="412">
        <v>-0.1</v>
      </c>
      <c r="CP33" s="412">
        <v>0.2</v>
      </c>
      <c r="CQ33" s="412">
        <v>-0.30000000000000004</v>
      </c>
      <c r="CR33" s="412">
        <v>-0.2</v>
      </c>
      <c r="CS33" s="423">
        <v>-3.4482758620689659E-3</v>
      </c>
      <c r="CT33" s="423">
        <v>-1.42433234421365E-2</v>
      </c>
      <c r="CU33" s="412"/>
      <c r="CV33" s="412"/>
      <c r="CW33" s="412"/>
      <c r="CX33" s="412">
        <v>8</v>
      </c>
      <c r="CY33" s="412" t="s">
        <v>330</v>
      </c>
      <c r="CZ33" s="412">
        <v>1775000</v>
      </c>
      <c r="DA33" s="412"/>
      <c r="DB33" s="424">
        <v>-3.3170731707317067</v>
      </c>
    </row>
    <row r="34" spans="1:106" x14ac:dyDescent="0.25">
      <c r="A34" s="425">
        <v>45</v>
      </c>
      <c r="B34" s="425" t="s">
        <v>331</v>
      </c>
      <c r="C34" s="425" t="s">
        <v>220</v>
      </c>
      <c r="D34" s="425"/>
      <c r="E34" s="425" t="s">
        <v>221</v>
      </c>
      <c r="F34" s="425">
        <v>70</v>
      </c>
      <c r="G34" s="425">
        <v>183</v>
      </c>
      <c r="H34" s="425" t="s">
        <v>107</v>
      </c>
      <c r="I34" s="425">
        <v>2009</v>
      </c>
      <c r="J34" s="425">
        <v>4</v>
      </c>
      <c r="K34" s="425">
        <v>106</v>
      </c>
      <c r="L34" s="425" t="s">
        <v>108</v>
      </c>
      <c r="M34" s="425">
        <v>22</v>
      </c>
      <c r="N34" s="425" t="s">
        <v>332</v>
      </c>
      <c r="O34" s="427" t="s">
        <v>333</v>
      </c>
      <c r="P34" s="427" t="s">
        <v>334</v>
      </c>
      <c r="Q34" s="425" t="s">
        <v>194</v>
      </c>
      <c r="R34" s="425"/>
      <c r="S34" s="425"/>
      <c r="T34" s="427" t="s">
        <v>138</v>
      </c>
      <c r="U34" s="425">
        <v>48</v>
      </c>
      <c r="V34" s="425">
        <v>6</v>
      </c>
      <c r="W34" s="425">
        <v>15</v>
      </c>
      <c r="X34" s="425">
        <v>21</v>
      </c>
      <c r="Y34" s="1298">
        <f t="shared" si="0"/>
        <v>0.4375</v>
      </c>
      <c r="Z34" s="1298" t="s">
        <v>668</v>
      </c>
      <c r="AA34" s="1298">
        <f>45/62</f>
        <v>0.72580645161290325</v>
      </c>
      <c r="AB34" s="425">
        <v>9</v>
      </c>
      <c r="AC34" s="425">
        <v>73</v>
      </c>
      <c r="AD34" s="425">
        <v>39</v>
      </c>
      <c r="AE34" s="425">
        <v>54</v>
      </c>
      <c r="AF34" s="428">
        <v>8.2191780821917804E-2</v>
      </c>
      <c r="AG34" s="428">
        <v>3.614457831325301E-2</v>
      </c>
      <c r="AH34" s="429">
        <v>46.3</v>
      </c>
      <c r="AI34" s="430">
        <v>31</v>
      </c>
      <c r="AJ34" s="430">
        <v>6</v>
      </c>
      <c r="AK34" s="430">
        <v>34</v>
      </c>
      <c r="AL34" s="426">
        <v>837.66666666670005</v>
      </c>
      <c r="AM34" s="429">
        <v>17.451388888889586</v>
      </c>
      <c r="AN34" s="425">
        <v>1111</v>
      </c>
      <c r="AO34" s="429">
        <v>23.145833333333332</v>
      </c>
      <c r="AP34" s="431">
        <v>0.75397539753978404</v>
      </c>
      <c r="AQ34" s="430">
        <v>93.552632000000003</v>
      </c>
      <c r="AR34" s="431">
        <v>6.7009445921207043</v>
      </c>
      <c r="AS34" s="428">
        <v>5.128205128205128E-2</v>
      </c>
      <c r="AT34" s="428">
        <v>0.12820512820512819</v>
      </c>
      <c r="AU34" s="428">
        <v>0.17948717948717946</v>
      </c>
      <c r="AV34" s="425">
        <v>0</v>
      </c>
      <c r="AW34" s="425">
        <v>0</v>
      </c>
      <c r="AX34" s="432">
        <v>0</v>
      </c>
      <c r="AY34" s="425">
        <v>0</v>
      </c>
      <c r="AZ34" s="425">
        <v>79</v>
      </c>
      <c r="BA34" s="425">
        <v>66</v>
      </c>
      <c r="BB34" s="425">
        <v>47</v>
      </c>
      <c r="BC34" s="425">
        <v>39</v>
      </c>
      <c r="BD34" s="425">
        <v>22</v>
      </c>
      <c r="BE34" s="425">
        <v>15</v>
      </c>
      <c r="BF34" s="426">
        <v>5.6585754078788035</v>
      </c>
      <c r="BG34" s="429">
        <v>4.7274174293671019</v>
      </c>
      <c r="BH34" s="429">
        <v>3.3664942300038452</v>
      </c>
      <c r="BI34" s="429">
        <v>2.7934739355351059</v>
      </c>
      <c r="BJ34" s="429">
        <v>1.5758058097890337</v>
      </c>
      <c r="BK34" s="429">
        <v>1.0744130521288868</v>
      </c>
      <c r="BL34" s="425">
        <v>22</v>
      </c>
      <c r="BM34" s="425">
        <v>10</v>
      </c>
      <c r="BN34" s="425">
        <v>0</v>
      </c>
      <c r="BO34" s="425">
        <v>0</v>
      </c>
      <c r="BP34" s="425">
        <v>0</v>
      </c>
      <c r="BQ34" s="425">
        <v>0</v>
      </c>
      <c r="BR34" s="426">
        <v>5.2839780000000003</v>
      </c>
      <c r="BS34" s="425"/>
      <c r="BT34" s="425"/>
      <c r="BU34" s="433" t="s">
        <v>139</v>
      </c>
      <c r="BV34" s="425"/>
      <c r="BW34" s="425">
        <v>1</v>
      </c>
      <c r="BX34" s="425">
        <v>11</v>
      </c>
      <c r="BY34" s="425">
        <v>0</v>
      </c>
      <c r="BZ34" s="425">
        <v>1</v>
      </c>
      <c r="CA34" s="425">
        <v>0</v>
      </c>
      <c r="CB34" s="425">
        <v>0</v>
      </c>
      <c r="CC34" s="425">
        <v>0</v>
      </c>
      <c r="CD34" s="425">
        <v>0</v>
      </c>
      <c r="CE34" s="433">
        <v>0</v>
      </c>
      <c r="CF34" s="434">
        <v>3</v>
      </c>
      <c r="CG34" s="425">
        <v>2</v>
      </c>
      <c r="CH34" s="425">
        <v>1.9</v>
      </c>
      <c r="CI34" s="425">
        <v>3.9</v>
      </c>
      <c r="CJ34" s="435">
        <v>8.1250000000000003E-2</v>
      </c>
      <c r="CK34" s="435">
        <v>0.27934739355351057</v>
      </c>
      <c r="CL34" s="425">
        <v>19.3</v>
      </c>
      <c r="CM34" s="425">
        <v>16.3</v>
      </c>
      <c r="CN34" s="425">
        <v>1.3</v>
      </c>
      <c r="CO34" s="425">
        <v>4</v>
      </c>
      <c r="CP34" s="425">
        <v>1.5</v>
      </c>
      <c r="CQ34" s="425">
        <v>0</v>
      </c>
      <c r="CR34" s="425">
        <v>5.5</v>
      </c>
      <c r="CS34" s="436">
        <v>0.11458333333333333</v>
      </c>
      <c r="CT34" s="436">
        <v>0.39395145244725843</v>
      </c>
      <c r="CU34" s="425"/>
      <c r="CV34" s="425"/>
      <c r="CW34" s="425"/>
      <c r="CX34" s="425">
        <v>1</v>
      </c>
      <c r="CY34" s="425" t="s">
        <v>123</v>
      </c>
      <c r="CZ34" s="425">
        <v>1325000</v>
      </c>
      <c r="DA34" s="425"/>
      <c r="DB34" s="437">
        <v>3.1731707317073168</v>
      </c>
    </row>
    <row r="35" spans="1:106" x14ac:dyDescent="0.25">
      <c r="A35" s="438">
        <v>27</v>
      </c>
      <c r="B35" s="438" t="s">
        <v>340</v>
      </c>
      <c r="C35" s="438" t="s">
        <v>341</v>
      </c>
      <c r="D35" s="438" t="s">
        <v>342</v>
      </c>
      <c r="E35" s="438" t="s">
        <v>106</v>
      </c>
      <c r="F35" s="438">
        <v>73</v>
      </c>
      <c r="G35" s="438">
        <v>208</v>
      </c>
      <c r="H35" s="438" t="s">
        <v>117</v>
      </c>
      <c r="I35" s="438">
        <v>2012</v>
      </c>
      <c r="J35" s="438">
        <v>1</v>
      </c>
      <c r="K35" s="438">
        <v>2</v>
      </c>
      <c r="L35" s="438" t="s">
        <v>108</v>
      </c>
      <c r="M35" s="438">
        <v>20</v>
      </c>
      <c r="N35" s="438" t="s">
        <v>343</v>
      </c>
      <c r="O35" s="440" t="s">
        <v>338</v>
      </c>
      <c r="P35" s="440" t="s">
        <v>344</v>
      </c>
      <c r="Q35" s="438" t="s">
        <v>200</v>
      </c>
      <c r="R35" s="438"/>
      <c r="S35" s="438"/>
      <c r="T35" s="440" t="s">
        <v>138</v>
      </c>
      <c r="U35" s="438">
        <v>66</v>
      </c>
      <c r="V35" s="438">
        <v>4</v>
      </c>
      <c r="W35" s="438">
        <v>17</v>
      </c>
      <c r="X35" s="438">
        <v>21</v>
      </c>
      <c r="Y35" s="1298">
        <f t="shared" si="0"/>
        <v>0.31818181818181818</v>
      </c>
      <c r="Z35" s="1298" t="s">
        <v>672</v>
      </c>
      <c r="AA35" s="1298">
        <f>17/23</f>
        <v>0.73913043478260865</v>
      </c>
      <c r="AB35" s="438">
        <v>4</v>
      </c>
      <c r="AC35" s="438">
        <v>62</v>
      </c>
      <c r="AD35" s="438">
        <v>29</v>
      </c>
      <c r="AE35" s="438">
        <v>47</v>
      </c>
      <c r="AF35" s="441">
        <v>6.4516129032258063E-2</v>
      </c>
      <c r="AG35" s="441">
        <v>2.8985507246376812E-2</v>
      </c>
      <c r="AH35" s="442">
        <v>48.5</v>
      </c>
      <c r="AI35" s="443">
        <v>19</v>
      </c>
      <c r="AJ35" s="443">
        <v>3</v>
      </c>
      <c r="AK35" s="443">
        <v>35</v>
      </c>
      <c r="AL35" s="439">
        <v>1311.05</v>
      </c>
      <c r="AM35" s="442">
        <v>19.864393939393938</v>
      </c>
      <c r="AN35" s="438">
        <v>1487</v>
      </c>
      <c r="AO35" s="442">
        <v>22.530303030303031</v>
      </c>
      <c r="AP35" s="444">
        <v>0.88167451244115669</v>
      </c>
      <c r="AQ35" s="443">
        <v>80.452128000000002</v>
      </c>
      <c r="AR35" s="444">
        <v>3.681879165554327</v>
      </c>
      <c r="AS35" s="441">
        <v>4.5977011494252873E-2</v>
      </c>
      <c r="AT35" s="441">
        <v>0.19540229885057472</v>
      </c>
      <c r="AU35" s="441">
        <v>0.2413793103448276</v>
      </c>
      <c r="AV35" s="438">
        <v>0</v>
      </c>
      <c r="AW35" s="438">
        <v>0</v>
      </c>
      <c r="AX35" s="445">
        <v>0</v>
      </c>
      <c r="AY35" s="438">
        <v>0</v>
      </c>
      <c r="AZ35" s="438">
        <v>94</v>
      </c>
      <c r="BA35" s="438">
        <v>26</v>
      </c>
      <c r="BB35" s="438">
        <v>97</v>
      </c>
      <c r="BC35" s="438">
        <v>29</v>
      </c>
      <c r="BD35" s="438">
        <v>26</v>
      </c>
      <c r="BE35" s="438">
        <v>12</v>
      </c>
      <c r="BF35" s="439">
        <v>4.3018954273292396</v>
      </c>
      <c r="BG35" s="442">
        <v>1.1898859692612791</v>
      </c>
      <c r="BH35" s="442">
        <v>4.4391899622440034</v>
      </c>
      <c r="BI35" s="442">
        <v>1.3271805041760421</v>
      </c>
      <c r="BJ35" s="442">
        <v>1.1898859692612791</v>
      </c>
      <c r="BK35" s="442">
        <v>0.54917813965905193</v>
      </c>
      <c r="BL35" s="438">
        <v>10</v>
      </c>
      <c r="BM35" s="438">
        <v>5</v>
      </c>
      <c r="BN35" s="438">
        <v>0</v>
      </c>
      <c r="BO35" s="438">
        <v>0</v>
      </c>
      <c r="BP35" s="438">
        <v>0</v>
      </c>
      <c r="BQ35" s="438">
        <v>0</v>
      </c>
      <c r="BR35" s="439">
        <v>3.506386</v>
      </c>
      <c r="BS35" s="438"/>
      <c r="BT35" s="438"/>
      <c r="BU35" s="446" t="s">
        <v>139</v>
      </c>
      <c r="BV35" s="438"/>
      <c r="BW35" s="438">
        <v>1</v>
      </c>
      <c r="BX35" s="438">
        <v>11</v>
      </c>
      <c r="BY35" s="438">
        <v>0</v>
      </c>
      <c r="BZ35" s="438">
        <v>0</v>
      </c>
      <c r="CA35" s="438">
        <v>0</v>
      </c>
      <c r="CB35" s="438">
        <v>0</v>
      </c>
      <c r="CC35" s="438">
        <v>0</v>
      </c>
      <c r="CD35" s="438">
        <v>0</v>
      </c>
      <c r="CE35" s="446">
        <v>0</v>
      </c>
      <c r="CF35" s="447">
        <v>2</v>
      </c>
      <c r="CG35" s="438">
        <v>1.2</v>
      </c>
      <c r="CH35" s="438">
        <v>3.3</v>
      </c>
      <c r="CI35" s="438">
        <v>4.5</v>
      </c>
      <c r="CJ35" s="448">
        <v>6.8181818181818177E-2</v>
      </c>
      <c r="CK35" s="448">
        <v>0.20594180237214446</v>
      </c>
      <c r="CL35" s="438">
        <v>26.4</v>
      </c>
      <c r="CM35" s="438">
        <v>29.7</v>
      </c>
      <c r="CN35" s="438">
        <v>1.4</v>
      </c>
      <c r="CO35" s="438">
        <v>2</v>
      </c>
      <c r="CP35" s="438">
        <v>3.4</v>
      </c>
      <c r="CQ35" s="438">
        <v>0</v>
      </c>
      <c r="CR35" s="438">
        <v>5.4</v>
      </c>
      <c r="CS35" s="449">
        <v>8.1818181818181818E-2</v>
      </c>
      <c r="CT35" s="449">
        <v>0.24713016284657338</v>
      </c>
      <c r="CU35" s="438"/>
      <c r="CV35" s="438"/>
      <c r="CW35" s="438"/>
      <c r="CX35" s="438">
        <v>16</v>
      </c>
      <c r="CY35" s="438" t="s">
        <v>345</v>
      </c>
      <c r="CZ35" s="438">
        <v>3494167</v>
      </c>
      <c r="DA35" s="438"/>
      <c r="DB35" s="450">
        <v>-0.73609814634146264</v>
      </c>
    </row>
    <row r="36" spans="1:106" x14ac:dyDescent="0.25">
      <c r="A36" s="451">
        <v>23</v>
      </c>
      <c r="B36" s="451" t="s">
        <v>346</v>
      </c>
      <c r="C36" s="451" t="s">
        <v>347</v>
      </c>
      <c r="D36" s="451" t="s">
        <v>142</v>
      </c>
      <c r="E36" s="451" t="s">
        <v>127</v>
      </c>
      <c r="F36" s="451">
        <v>70</v>
      </c>
      <c r="G36" s="451">
        <v>170</v>
      </c>
      <c r="H36" s="451" t="s">
        <v>107</v>
      </c>
      <c r="I36" s="451"/>
      <c r="J36" s="451"/>
      <c r="K36" s="451"/>
      <c r="L36" s="451" t="s">
        <v>108</v>
      </c>
      <c r="M36" s="451">
        <v>23</v>
      </c>
      <c r="N36" s="451" t="s">
        <v>348</v>
      </c>
      <c r="O36" s="453" t="s">
        <v>349</v>
      </c>
      <c r="P36" s="453" t="s">
        <v>350</v>
      </c>
      <c r="Q36" s="451" t="s">
        <v>121</v>
      </c>
      <c r="R36" s="451"/>
      <c r="S36" s="451"/>
      <c r="T36" s="453" t="s">
        <v>180</v>
      </c>
      <c r="U36" s="451">
        <v>63</v>
      </c>
      <c r="V36" s="451">
        <v>4</v>
      </c>
      <c r="W36" s="451">
        <v>15</v>
      </c>
      <c r="X36" s="451">
        <v>19</v>
      </c>
      <c r="Y36" s="1298">
        <f t="shared" si="0"/>
        <v>0.30158730158730157</v>
      </c>
      <c r="Z36" s="1298" t="s">
        <v>668</v>
      </c>
      <c r="AA36" s="1298">
        <f>28/51</f>
        <v>0.5490196078431373</v>
      </c>
      <c r="AB36" s="451">
        <v>-9</v>
      </c>
      <c r="AC36" s="451">
        <v>113</v>
      </c>
      <c r="AD36" s="451">
        <v>41</v>
      </c>
      <c r="AE36" s="451">
        <v>33</v>
      </c>
      <c r="AF36" s="454">
        <v>3.5398230088495575E-2</v>
      </c>
      <c r="AG36" s="454">
        <v>2.1390374331550801E-2</v>
      </c>
      <c r="AH36" s="455">
        <v>29.1</v>
      </c>
      <c r="AI36" s="456">
        <v>60</v>
      </c>
      <c r="AJ36" s="456">
        <v>11</v>
      </c>
      <c r="AK36" s="456">
        <v>14</v>
      </c>
      <c r="AL36" s="452">
        <v>821.13333333330002</v>
      </c>
      <c r="AM36" s="455">
        <v>13.033862433861906</v>
      </c>
      <c r="AN36" s="451">
        <v>1129</v>
      </c>
      <c r="AO36" s="455">
        <v>17.920634920634921</v>
      </c>
      <c r="AP36" s="457">
        <v>0.7273103041038973</v>
      </c>
      <c r="AQ36" s="456">
        <v>148.545455</v>
      </c>
      <c r="AR36" s="457">
        <v>10.854177924819796</v>
      </c>
      <c r="AS36" s="454">
        <v>3.4482758620689655E-2</v>
      </c>
      <c r="AT36" s="454">
        <v>0.12931034482758622</v>
      </c>
      <c r="AU36" s="454">
        <v>0.16379310344827586</v>
      </c>
      <c r="AV36" s="451">
        <v>7</v>
      </c>
      <c r="AW36" s="451">
        <v>15</v>
      </c>
      <c r="AX36" s="458">
        <v>0.31818181818181818</v>
      </c>
      <c r="AY36" s="451">
        <v>0.5</v>
      </c>
      <c r="AZ36" s="451">
        <v>97</v>
      </c>
      <c r="BA36" s="451">
        <v>70</v>
      </c>
      <c r="BB36" s="451">
        <v>32</v>
      </c>
      <c r="BC36" s="451">
        <v>41</v>
      </c>
      <c r="BD36" s="451">
        <v>12</v>
      </c>
      <c r="BE36" s="451">
        <v>19</v>
      </c>
      <c r="BF36" s="452">
        <v>7.087764877811443</v>
      </c>
      <c r="BG36" s="455">
        <v>5.1148818705855774</v>
      </c>
      <c r="BH36" s="455">
        <v>2.3382317122676923</v>
      </c>
      <c r="BI36" s="455">
        <v>2.995859381342981</v>
      </c>
      <c r="BJ36" s="455">
        <v>0.87683689210038462</v>
      </c>
      <c r="BK36" s="455">
        <v>1.3883250791589425</v>
      </c>
      <c r="BL36" s="451">
        <v>6</v>
      </c>
      <c r="BM36" s="451">
        <v>3</v>
      </c>
      <c r="BN36" s="451">
        <v>0</v>
      </c>
      <c r="BO36" s="451">
        <v>0</v>
      </c>
      <c r="BP36" s="451">
        <v>0</v>
      </c>
      <c r="BQ36" s="451">
        <v>0</v>
      </c>
      <c r="BR36" s="452">
        <v>4.6002080000000003</v>
      </c>
      <c r="BS36" s="451"/>
      <c r="BT36" s="451"/>
      <c r="BU36" s="459" t="s">
        <v>139</v>
      </c>
      <c r="BV36" s="451"/>
      <c r="BW36" s="451">
        <v>0</v>
      </c>
      <c r="BX36" s="451">
        <v>18</v>
      </c>
      <c r="BY36" s="451">
        <v>0</v>
      </c>
      <c r="BZ36" s="451">
        <v>0</v>
      </c>
      <c r="CA36" s="451">
        <v>0</v>
      </c>
      <c r="CB36" s="451">
        <v>0</v>
      </c>
      <c r="CC36" s="451">
        <v>0</v>
      </c>
      <c r="CD36" s="451">
        <v>1</v>
      </c>
      <c r="CE36" s="459">
        <v>1</v>
      </c>
      <c r="CF36" s="460">
        <v>4</v>
      </c>
      <c r="CG36" s="451">
        <v>0.30000000000000004</v>
      </c>
      <c r="CH36" s="451">
        <v>0.4</v>
      </c>
      <c r="CI36" s="451">
        <v>0.7</v>
      </c>
      <c r="CJ36" s="461">
        <v>1.111111111111111E-2</v>
      </c>
      <c r="CK36" s="461">
        <v>5.1148818705855768E-2</v>
      </c>
      <c r="CL36" s="451">
        <v>16.100000000000001</v>
      </c>
      <c r="CM36" s="451">
        <v>17.2</v>
      </c>
      <c r="CN36" s="451">
        <v>-13.1</v>
      </c>
      <c r="CO36" s="451">
        <v>0</v>
      </c>
      <c r="CP36" s="451">
        <v>0.9</v>
      </c>
      <c r="CQ36" s="451">
        <v>0</v>
      </c>
      <c r="CR36" s="451">
        <v>0.9</v>
      </c>
      <c r="CS36" s="462">
        <v>1.4285714285714285E-2</v>
      </c>
      <c r="CT36" s="462">
        <v>6.5762766907528844E-2</v>
      </c>
      <c r="CU36" s="451"/>
      <c r="CV36" s="451"/>
      <c r="CW36" s="451"/>
      <c r="CX36" s="451">
        <v>2</v>
      </c>
      <c r="CY36" s="451" t="s">
        <v>123</v>
      </c>
      <c r="CZ36" s="451">
        <v>874125</v>
      </c>
      <c r="DA36" s="451"/>
      <c r="DB36" s="463">
        <v>-0.63504878048780478</v>
      </c>
    </row>
    <row r="37" spans="1:106" x14ac:dyDescent="0.25">
      <c r="A37" s="464">
        <v>86</v>
      </c>
      <c r="B37" s="464" t="s">
        <v>351</v>
      </c>
      <c r="C37" s="464" t="s">
        <v>352</v>
      </c>
      <c r="D37" s="464"/>
      <c r="E37" s="464" t="s">
        <v>176</v>
      </c>
      <c r="F37" s="464">
        <v>71</v>
      </c>
      <c r="G37" s="464">
        <v>171</v>
      </c>
      <c r="H37" s="464" t="s">
        <v>117</v>
      </c>
      <c r="I37" s="464">
        <v>2011</v>
      </c>
      <c r="J37" s="464">
        <v>2</v>
      </c>
      <c r="K37" s="464">
        <v>58</v>
      </c>
      <c r="L37" s="464" t="s">
        <v>108</v>
      </c>
      <c r="M37" s="464">
        <v>20</v>
      </c>
      <c r="N37" s="464" t="s">
        <v>353</v>
      </c>
      <c r="O37" s="466" t="s">
        <v>354</v>
      </c>
      <c r="P37" s="466" t="s">
        <v>355</v>
      </c>
      <c r="Q37" s="464" t="s">
        <v>121</v>
      </c>
      <c r="R37" s="464"/>
      <c r="S37" s="464"/>
      <c r="T37" s="466" t="s">
        <v>164</v>
      </c>
      <c r="U37" s="464">
        <v>52</v>
      </c>
      <c r="V37" s="464">
        <v>9</v>
      </c>
      <c r="W37" s="464">
        <v>9</v>
      </c>
      <c r="X37" s="464">
        <v>18</v>
      </c>
      <c r="Y37" s="1298">
        <f t="shared" si="0"/>
        <v>0.34615384615384615</v>
      </c>
      <c r="Z37" s="1298" t="s">
        <v>668</v>
      </c>
      <c r="AA37" s="1298">
        <f>24/17</f>
        <v>1.411764705882353</v>
      </c>
      <c r="AB37" s="464">
        <v>3</v>
      </c>
      <c r="AC37" s="464">
        <v>102</v>
      </c>
      <c r="AD37" s="464">
        <v>54</v>
      </c>
      <c r="AE37" s="464">
        <v>33</v>
      </c>
      <c r="AF37" s="467">
        <v>8.8235294117647065E-2</v>
      </c>
      <c r="AG37" s="467">
        <v>4.7619047619047616E-2</v>
      </c>
      <c r="AH37" s="468">
        <v>26</v>
      </c>
      <c r="AI37" s="469">
        <v>61</v>
      </c>
      <c r="AJ37" s="469">
        <v>10</v>
      </c>
      <c r="AK37" s="469">
        <v>10</v>
      </c>
      <c r="AL37" s="465">
        <v>681.98333333330004</v>
      </c>
      <c r="AM37" s="468">
        <v>13.115064102563462</v>
      </c>
      <c r="AN37" s="464">
        <v>918</v>
      </c>
      <c r="AO37" s="468">
        <v>17.653846153846153</v>
      </c>
      <c r="AP37" s="470">
        <v>0.74290123456786494</v>
      </c>
      <c r="AQ37" s="469">
        <v>117.6</v>
      </c>
      <c r="AR37" s="470">
        <v>10.346293897700839</v>
      </c>
      <c r="AS37" s="467">
        <v>9.8901098901098897E-2</v>
      </c>
      <c r="AT37" s="467">
        <v>9.8901098901098897E-2</v>
      </c>
      <c r="AU37" s="467">
        <v>0.19780219780219779</v>
      </c>
      <c r="AV37" s="464">
        <v>1</v>
      </c>
      <c r="AW37" s="464">
        <v>0</v>
      </c>
      <c r="AX37" s="471">
        <v>1</v>
      </c>
      <c r="AY37" s="464">
        <v>0</v>
      </c>
      <c r="AZ37" s="464">
        <v>55</v>
      </c>
      <c r="BA37" s="464">
        <v>15</v>
      </c>
      <c r="BB37" s="464">
        <v>19</v>
      </c>
      <c r="BC37" s="464">
        <v>54</v>
      </c>
      <c r="BD37" s="464">
        <v>17</v>
      </c>
      <c r="BE37" s="464">
        <v>17</v>
      </c>
      <c r="BF37" s="465">
        <v>4.8388279283464817</v>
      </c>
      <c r="BG37" s="468">
        <v>1.3196803440944949</v>
      </c>
      <c r="BH37" s="468">
        <v>1.6715951025196936</v>
      </c>
      <c r="BI37" s="468">
        <v>4.7508492387401819</v>
      </c>
      <c r="BJ37" s="468">
        <v>1.4956377233070943</v>
      </c>
      <c r="BK37" s="468">
        <v>1.4956377233070943</v>
      </c>
      <c r="BL37" s="464">
        <v>14</v>
      </c>
      <c r="BM37" s="464">
        <v>7</v>
      </c>
      <c r="BN37" s="464">
        <v>0</v>
      </c>
      <c r="BO37" s="464">
        <v>0</v>
      </c>
      <c r="BP37" s="464">
        <v>0</v>
      </c>
      <c r="BQ37" s="464">
        <v>0</v>
      </c>
      <c r="BR37" s="465">
        <v>7.1279999999999998E-3</v>
      </c>
      <c r="BS37" s="464">
        <v>8</v>
      </c>
      <c r="BT37" s="464">
        <v>3</v>
      </c>
      <c r="BU37" s="472">
        <v>0.375</v>
      </c>
      <c r="BV37" s="464">
        <v>2</v>
      </c>
      <c r="BW37" s="464">
        <v>2</v>
      </c>
      <c r="BX37" s="464">
        <v>13</v>
      </c>
      <c r="BY37" s="464">
        <v>0</v>
      </c>
      <c r="BZ37" s="464">
        <v>0</v>
      </c>
      <c r="CA37" s="464">
        <v>3</v>
      </c>
      <c r="CB37" s="464">
        <v>0</v>
      </c>
      <c r="CC37" s="464">
        <v>0</v>
      </c>
      <c r="CD37" s="464">
        <v>2</v>
      </c>
      <c r="CE37" s="472">
        <v>2</v>
      </c>
      <c r="CF37" s="473">
        <v>3</v>
      </c>
      <c r="CG37" s="464">
        <v>1.1000000000000001</v>
      </c>
      <c r="CH37" s="464">
        <v>0.8</v>
      </c>
      <c r="CI37" s="464">
        <v>1.9</v>
      </c>
      <c r="CJ37" s="474">
        <v>3.6538461538461534E-2</v>
      </c>
      <c r="CK37" s="474">
        <v>0.16715951025196935</v>
      </c>
      <c r="CL37" s="464">
        <v>12.2</v>
      </c>
      <c r="CM37" s="464">
        <v>10.4</v>
      </c>
      <c r="CN37" s="464">
        <v>1.8</v>
      </c>
      <c r="CO37" s="464">
        <v>2.2999999999999998</v>
      </c>
      <c r="CP37" s="464">
        <v>1.2</v>
      </c>
      <c r="CQ37" s="464">
        <v>0.4</v>
      </c>
      <c r="CR37" s="464">
        <v>3.9</v>
      </c>
      <c r="CS37" s="475">
        <v>7.4999999999999997E-2</v>
      </c>
      <c r="CT37" s="475">
        <v>0.34311688946456864</v>
      </c>
      <c r="CU37" s="464"/>
      <c r="CV37" s="464"/>
      <c r="CW37" s="464"/>
      <c r="CX37" s="464"/>
      <c r="CY37" s="464"/>
      <c r="CZ37" s="464">
        <v>894167</v>
      </c>
      <c r="DA37" s="464"/>
      <c r="DB37" s="476">
        <v>2.3297555121951219</v>
      </c>
    </row>
    <row r="38" spans="1:106" x14ac:dyDescent="0.25">
      <c r="A38" s="477">
        <v>18</v>
      </c>
      <c r="B38" s="477" t="s">
        <v>356</v>
      </c>
      <c r="C38" s="477" t="s">
        <v>357</v>
      </c>
      <c r="D38" s="477" t="s">
        <v>168</v>
      </c>
      <c r="E38" s="477" t="s">
        <v>106</v>
      </c>
      <c r="F38" s="477">
        <v>73</v>
      </c>
      <c r="G38" s="477">
        <v>188</v>
      </c>
      <c r="H38" s="477" t="s">
        <v>107</v>
      </c>
      <c r="I38" s="477">
        <v>2011</v>
      </c>
      <c r="J38" s="477">
        <v>1</v>
      </c>
      <c r="K38" s="477">
        <v>5</v>
      </c>
      <c r="L38" s="477" t="s">
        <v>108</v>
      </c>
      <c r="M38" s="477">
        <v>20</v>
      </c>
      <c r="N38" s="477" t="s">
        <v>358</v>
      </c>
      <c r="O38" s="479" t="s">
        <v>338</v>
      </c>
      <c r="P38" s="479" t="s">
        <v>359</v>
      </c>
      <c r="Q38" s="477" t="s">
        <v>252</v>
      </c>
      <c r="R38" s="477"/>
      <c r="S38" s="477"/>
      <c r="T38" s="479" t="s">
        <v>113</v>
      </c>
      <c r="U38" s="477">
        <v>37</v>
      </c>
      <c r="V38" s="477">
        <v>7</v>
      </c>
      <c r="W38" s="477">
        <v>11</v>
      </c>
      <c r="X38" s="477">
        <v>18</v>
      </c>
      <c r="Y38" s="1298">
        <f t="shared" si="0"/>
        <v>0.48648648648648651</v>
      </c>
      <c r="Z38" s="1298" t="s">
        <v>670</v>
      </c>
      <c r="AA38" s="1298">
        <f>94/53</f>
        <v>1.7735849056603774</v>
      </c>
      <c r="AB38" s="477">
        <v>-1</v>
      </c>
      <c r="AC38" s="477">
        <v>89</v>
      </c>
      <c r="AD38" s="477">
        <v>20</v>
      </c>
      <c r="AE38" s="477">
        <v>28</v>
      </c>
      <c r="AF38" s="480">
        <v>7.8651685393258425E-2</v>
      </c>
      <c r="AG38" s="480">
        <v>5.1094890510948905E-2</v>
      </c>
      <c r="AH38" s="481">
        <v>29.6</v>
      </c>
      <c r="AI38" s="482">
        <v>58</v>
      </c>
      <c r="AJ38" s="482">
        <v>15</v>
      </c>
      <c r="AK38" s="482">
        <v>8</v>
      </c>
      <c r="AL38" s="478">
        <v>562</v>
      </c>
      <c r="AM38" s="481">
        <v>15.189189189189189</v>
      </c>
      <c r="AN38" s="477">
        <v>703</v>
      </c>
      <c r="AO38" s="481">
        <v>19</v>
      </c>
      <c r="AP38" s="483">
        <v>0.79943100995732574</v>
      </c>
      <c r="AQ38" s="482">
        <v>61.25</v>
      </c>
      <c r="AR38" s="483">
        <v>6.5391459074733094</v>
      </c>
      <c r="AS38" s="480">
        <v>8.3333333333333329E-2</v>
      </c>
      <c r="AT38" s="480">
        <v>0.13095238095238096</v>
      </c>
      <c r="AU38" s="480">
        <v>0.2142857142857143</v>
      </c>
      <c r="AV38" s="477">
        <v>165</v>
      </c>
      <c r="AW38" s="477">
        <v>209</v>
      </c>
      <c r="AX38" s="484">
        <v>0.44117647058823528</v>
      </c>
      <c r="AY38" s="477">
        <v>16.8</v>
      </c>
      <c r="AZ38" s="477">
        <v>25</v>
      </c>
      <c r="BA38" s="477">
        <v>29</v>
      </c>
      <c r="BB38" s="477">
        <v>8</v>
      </c>
      <c r="BC38" s="477">
        <v>20</v>
      </c>
      <c r="BD38" s="477">
        <v>22</v>
      </c>
      <c r="BE38" s="477">
        <v>21</v>
      </c>
      <c r="BF38" s="478">
        <v>2.6690391459074734</v>
      </c>
      <c r="BG38" s="481">
        <v>3.0960854092526691</v>
      </c>
      <c r="BH38" s="481">
        <v>0.85409252669039137</v>
      </c>
      <c r="BI38" s="481">
        <v>2.1352313167259789</v>
      </c>
      <c r="BJ38" s="481">
        <v>2.3487544483985765</v>
      </c>
      <c r="BK38" s="481">
        <v>2.2419928825622772</v>
      </c>
      <c r="BL38" s="477">
        <v>8</v>
      </c>
      <c r="BM38" s="477">
        <v>4</v>
      </c>
      <c r="BN38" s="477">
        <v>0</v>
      </c>
      <c r="BO38" s="477">
        <v>0</v>
      </c>
      <c r="BP38" s="477">
        <v>0</v>
      </c>
      <c r="BQ38" s="477">
        <v>0</v>
      </c>
      <c r="BR38" s="478">
        <v>-0.68441099999999999</v>
      </c>
      <c r="BS38" s="477">
        <v>3</v>
      </c>
      <c r="BT38" s="477">
        <v>1</v>
      </c>
      <c r="BU38" s="485">
        <v>0.33333333333333331</v>
      </c>
      <c r="BV38" s="477">
        <v>0</v>
      </c>
      <c r="BW38" s="477">
        <v>1</v>
      </c>
      <c r="BX38" s="477">
        <v>12</v>
      </c>
      <c r="BY38" s="477">
        <v>0</v>
      </c>
      <c r="BZ38" s="477">
        <v>0</v>
      </c>
      <c r="CA38" s="477">
        <v>1</v>
      </c>
      <c r="CB38" s="477">
        <v>0</v>
      </c>
      <c r="CC38" s="477">
        <v>0</v>
      </c>
      <c r="CD38" s="477">
        <v>0</v>
      </c>
      <c r="CE38" s="485">
        <v>0</v>
      </c>
      <c r="CF38" s="486">
        <v>4</v>
      </c>
      <c r="CG38" s="477">
        <v>1.2</v>
      </c>
      <c r="CH38" s="477">
        <v>0.60000000000000009</v>
      </c>
      <c r="CI38" s="477">
        <v>1.8</v>
      </c>
      <c r="CJ38" s="487">
        <v>4.8648648648648651E-2</v>
      </c>
      <c r="CK38" s="487">
        <v>0.19217081850533807</v>
      </c>
      <c r="CL38" s="477">
        <v>12.6</v>
      </c>
      <c r="CM38" s="477">
        <v>9.1</v>
      </c>
      <c r="CN38" s="477">
        <v>4.4000000000000004</v>
      </c>
      <c r="CO38" s="477">
        <v>1.8</v>
      </c>
      <c r="CP38" s="477">
        <v>0.8</v>
      </c>
      <c r="CQ38" s="477">
        <v>0</v>
      </c>
      <c r="CR38" s="477">
        <v>2.7</v>
      </c>
      <c r="CS38" s="488">
        <v>7.2972972972972977E-2</v>
      </c>
      <c r="CT38" s="488">
        <v>0.28825622775800713</v>
      </c>
      <c r="CU38" s="477"/>
      <c r="CV38" s="477"/>
      <c r="CW38" s="477"/>
      <c r="CX38" s="477"/>
      <c r="CY38" s="477"/>
      <c r="CZ38" s="477">
        <v>1713333</v>
      </c>
      <c r="DA38" s="477"/>
      <c r="DB38" s="489">
        <v>-0.30877990243902431</v>
      </c>
    </row>
    <row r="39" spans="1:106" x14ac:dyDescent="0.25">
      <c r="A39" s="490">
        <v>26</v>
      </c>
      <c r="B39" s="490" t="s">
        <v>360</v>
      </c>
      <c r="C39" s="490" t="s">
        <v>361</v>
      </c>
      <c r="D39" s="490" t="s">
        <v>362</v>
      </c>
      <c r="E39" s="490" t="s">
        <v>127</v>
      </c>
      <c r="F39" s="490">
        <v>68</v>
      </c>
      <c r="G39" s="490">
        <v>166</v>
      </c>
      <c r="H39" s="490" t="s">
        <v>107</v>
      </c>
      <c r="I39" s="490"/>
      <c r="J39" s="490"/>
      <c r="K39" s="490"/>
      <c r="L39" s="490" t="s">
        <v>108</v>
      </c>
      <c r="M39" s="490">
        <v>25</v>
      </c>
      <c r="N39" s="490" t="s">
        <v>363</v>
      </c>
      <c r="O39" s="492" t="s">
        <v>184</v>
      </c>
      <c r="P39" s="492" t="s">
        <v>364</v>
      </c>
      <c r="Q39" s="490" t="s">
        <v>365</v>
      </c>
      <c r="R39" s="490"/>
      <c r="S39" s="490"/>
      <c r="T39" s="492" t="s">
        <v>207</v>
      </c>
      <c r="U39" s="490">
        <v>41</v>
      </c>
      <c r="V39" s="490">
        <v>4</v>
      </c>
      <c r="W39" s="490">
        <v>14</v>
      </c>
      <c r="X39" s="490">
        <v>18</v>
      </c>
      <c r="Y39" s="1298">
        <f t="shared" si="0"/>
        <v>0.43902439024390244</v>
      </c>
      <c r="Z39" s="1298" t="s">
        <v>668</v>
      </c>
      <c r="AA39" s="1298">
        <f>68/74</f>
        <v>0.91891891891891897</v>
      </c>
      <c r="AB39" s="490">
        <v>-7</v>
      </c>
      <c r="AC39" s="490">
        <v>70</v>
      </c>
      <c r="AD39" s="490">
        <v>29</v>
      </c>
      <c r="AE39" s="490">
        <v>28</v>
      </c>
      <c r="AF39" s="493">
        <v>5.7142857142857141E-2</v>
      </c>
      <c r="AG39" s="493">
        <v>3.1496062992125984E-2</v>
      </c>
      <c r="AH39" s="494">
        <v>30.5</v>
      </c>
      <c r="AI39" s="495">
        <v>32</v>
      </c>
      <c r="AJ39" s="495">
        <v>23</v>
      </c>
      <c r="AK39" s="495">
        <v>8</v>
      </c>
      <c r="AL39" s="491">
        <v>618.01666666669996</v>
      </c>
      <c r="AM39" s="494">
        <v>15.07357723577317</v>
      </c>
      <c r="AN39" s="490">
        <v>894</v>
      </c>
      <c r="AO39" s="494">
        <v>21.804878048780488</v>
      </c>
      <c r="AP39" s="496">
        <v>0.69129381058914985</v>
      </c>
      <c r="AQ39" s="495">
        <v>92.647058999999999</v>
      </c>
      <c r="AR39" s="496">
        <v>8.994617523798766</v>
      </c>
      <c r="AS39" s="493">
        <v>6.6666666666666666E-2</v>
      </c>
      <c r="AT39" s="493">
        <v>0.23333333333333334</v>
      </c>
      <c r="AU39" s="493">
        <v>0.3</v>
      </c>
      <c r="AV39" s="490">
        <v>206</v>
      </c>
      <c r="AW39" s="490">
        <v>198</v>
      </c>
      <c r="AX39" s="497">
        <v>0.50990099009900991</v>
      </c>
      <c r="AY39" s="490">
        <v>16.7</v>
      </c>
      <c r="AZ39" s="490">
        <v>38</v>
      </c>
      <c r="BA39" s="490">
        <v>78</v>
      </c>
      <c r="BB39" s="490">
        <v>23</v>
      </c>
      <c r="BC39" s="490">
        <v>29</v>
      </c>
      <c r="BD39" s="490">
        <v>13</v>
      </c>
      <c r="BE39" s="490">
        <v>18</v>
      </c>
      <c r="BF39" s="491">
        <v>3.6892208947976766</v>
      </c>
      <c r="BG39" s="494">
        <v>7.5726113103741781</v>
      </c>
      <c r="BH39" s="494">
        <v>2.2329494889564883</v>
      </c>
      <c r="BI39" s="494">
        <v>2.8154580512929632</v>
      </c>
      <c r="BJ39" s="494">
        <v>1.2621018850623629</v>
      </c>
      <c r="BK39" s="494">
        <v>1.7475256870094256</v>
      </c>
      <c r="BL39" s="490">
        <v>8</v>
      </c>
      <c r="BM39" s="490">
        <v>4</v>
      </c>
      <c r="BN39" s="490">
        <v>0</v>
      </c>
      <c r="BO39" s="490">
        <v>0</v>
      </c>
      <c r="BP39" s="490">
        <v>0</v>
      </c>
      <c r="BQ39" s="490">
        <v>0</v>
      </c>
      <c r="BR39" s="491">
        <v>7.0379889999999996</v>
      </c>
      <c r="BS39" s="490"/>
      <c r="BT39" s="490"/>
      <c r="BU39" s="498" t="s">
        <v>139</v>
      </c>
      <c r="BV39" s="490"/>
      <c r="BW39" s="490">
        <v>0</v>
      </c>
      <c r="BX39" s="490">
        <v>9</v>
      </c>
      <c r="BY39" s="490">
        <v>1</v>
      </c>
      <c r="BZ39" s="490">
        <v>0</v>
      </c>
      <c r="CA39" s="490">
        <v>1</v>
      </c>
      <c r="CB39" s="490">
        <v>0</v>
      </c>
      <c r="CC39" s="490">
        <v>0</v>
      </c>
      <c r="CD39" s="490">
        <v>0</v>
      </c>
      <c r="CE39" s="498">
        <v>0</v>
      </c>
      <c r="CF39" s="499">
        <v>4</v>
      </c>
      <c r="CG39" s="490">
        <v>0.7</v>
      </c>
      <c r="CH39" s="490">
        <v>0.5</v>
      </c>
      <c r="CI39" s="490">
        <v>1.2</v>
      </c>
      <c r="CJ39" s="500">
        <v>2.9268292682926828E-2</v>
      </c>
      <c r="CK39" s="500">
        <v>0.11650171246729503</v>
      </c>
      <c r="CL39" s="490">
        <v>11.9</v>
      </c>
      <c r="CM39" s="490">
        <v>13.3</v>
      </c>
      <c r="CN39" s="490">
        <v>-0.8</v>
      </c>
      <c r="CO39" s="490">
        <v>1.6</v>
      </c>
      <c r="CP39" s="490">
        <v>1.2</v>
      </c>
      <c r="CQ39" s="490">
        <v>0</v>
      </c>
      <c r="CR39" s="490">
        <v>2.8</v>
      </c>
      <c r="CS39" s="501">
        <v>6.829268292682926E-2</v>
      </c>
      <c r="CT39" s="501">
        <v>0.27183732909035507</v>
      </c>
      <c r="CU39" s="490"/>
      <c r="CV39" s="490"/>
      <c r="CW39" s="490"/>
      <c r="CX39" s="490">
        <v>6</v>
      </c>
      <c r="CY39" s="490" t="s">
        <v>366</v>
      </c>
      <c r="CZ39" s="490">
        <v>600000</v>
      </c>
      <c r="DA39" s="490"/>
      <c r="DB39" s="502">
        <v>1.7463414634146339</v>
      </c>
    </row>
    <row r="40" spans="1:106" x14ac:dyDescent="0.25">
      <c r="A40" s="503">
        <v>49</v>
      </c>
      <c r="B40" s="503" t="s">
        <v>367</v>
      </c>
      <c r="C40" s="503" t="s">
        <v>368</v>
      </c>
      <c r="D40" s="503" t="s">
        <v>150</v>
      </c>
      <c r="E40" s="503" t="s">
        <v>127</v>
      </c>
      <c r="F40" s="503">
        <v>68</v>
      </c>
      <c r="G40" s="503">
        <v>170</v>
      </c>
      <c r="H40" s="503" t="s">
        <v>117</v>
      </c>
      <c r="I40" s="503"/>
      <c r="J40" s="503"/>
      <c r="K40" s="503"/>
      <c r="L40" s="503" t="s">
        <v>108</v>
      </c>
      <c r="M40" s="503">
        <v>25</v>
      </c>
      <c r="N40" s="503" t="s">
        <v>369</v>
      </c>
      <c r="O40" s="505" t="s">
        <v>370</v>
      </c>
      <c r="P40" s="505" t="s">
        <v>371</v>
      </c>
      <c r="Q40" s="503" t="s">
        <v>225</v>
      </c>
      <c r="R40" s="503"/>
      <c r="S40" s="503"/>
      <c r="T40" s="505" t="s">
        <v>113</v>
      </c>
      <c r="U40" s="503">
        <v>41</v>
      </c>
      <c r="V40" s="503">
        <v>5</v>
      </c>
      <c r="W40" s="503">
        <v>12</v>
      </c>
      <c r="X40" s="503">
        <v>17</v>
      </c>
      <c r="Y40" s="1298">
        <f t="shared" si="0"/>
        <v>0.41463414634146339</v>
      </c>
      <c r="Z40" s="1298" t="s">
        <v>668</v>
      </c>
      <c r="AA40" s="1298">
        <f>30/28</f>
        <v>1.0714285714285714</v>
      </c>
      <c r="AB40" s="503">
        <v>5</v>
      </c>
      <c r="AC40" s="503">
        <v>29</v>
      </c>
      <c r="AD40" s="503">
        <v>9</v>
      </c>
      <c r="AE40" s="503">
        <v>15</v>
      </c>
      <c r="AF40" s="506">
        <v>0.17241379310344829</v>
      </c>
      <c r="AG40" s="506">
        <v>9.4339622641509441E-2</v>
      </c>
      <c r="AH40" s="507">
        <v>23.3</v>
      </c>
      <c r="AI40" s="508">
        <v>19</v>
      </c>
      <c r="AJ40" s="508">
        <v>1</v>
      </c>
      <c r="AK40" s="508">
        <v>0</v>
      </c>
      <c r="AL40" s="504">
        <v>489.73333333329998</v>
      </c>
      <c r="AM40" s="507">
        <v>11.944715447153659</v>
      </c>
      <c r="AN40" s="503">
        <v>694</v>
      </c>
      <c r="AO40" s="507">
        <v>16.926829268292682</v>
      </c>
      <c r="AP40" s="509">
        <v>0.70566762728141208</v>
      </c>
      <c r="AQ40" s="508">
        <v>69.3</v>
      </c>
      <c r="AR40" s="509">
        <v>8.4903348761236384</v>
      </c>
      <c r="AS40" s="506">
        <v>7.9365079365079361E-2</v>
      </c>
      <c r="AT40" s="506">
        <v>0.19047619047619047</v>
      </c>
      <c r="AU40" s="506">
        <v>0.26984126984126983</v>
      </c>
      <c r="AV40" s="503">
        <v>9</v>
      </c>
      <c r="AW40" s="503">
        <v>13</v>
      </c>
      <c r="AX40" s="510">
        <v>0.40909090909090912</v>
      </c>
      <c r="AY40" s="503">
        <v>0.9</v>
      </c>
      <c r="AZ40" s="503">
        <v>43</v>
      </c>
      <c r="BA40" s="503">
        <v>24</v>
      </c>
      <c r="BB40" s="503">
        <v>19</v>
      </c>
      <c r="BC40" s="503">
        <v>9</v>
      </c>
      <c r="BD40" s="503">
        <v>11</v>
      </c>
      <c r="BE40" s="503">
        <v>10</v>
      </c>
      <c r="BF40" s="504">
        <v>5.2681731554591122</v>
      </c>
      <c r="BG40" s="507">
        <v>2.940375714674853</v>
      </c>
      <c r="BH40" s="507">
        <v>2.3277974407842588</v>
      </c>
      <c r="BI40" s="507">
        <v>1.10264089300307</v>
      </c>
      <c r="BJ40" s="507">
        <v>1.3476722025593078</v>
      </c>
      <c r="BK40" s="507">
        <v>1.2251565477811888</v>
      </c>
      <c r="BL40" s="503">
        <v>6</v>
      </c>
      <c r="BM40" s="503">
        <v>3</v>
      </c>
      <c r="BN40" s="503">
        <v>0</v>
      </c>
      <c r="BO40" s="503">
        <v>0</v>
      </c>
      <c r="BP40" s="503">
        <v>0</v>
      </c>
      <c r="BQ40" s="503">
        <v>0</v>
      </c>
      <c r="BR40" s="504">
        <v>8.1546610000000008</v>
      </c>
      <c r="BS40" s="503"/>
      <c r="BT40" s="503"/>
      <c r="BU40" s="511" t="s">
        <v>139</v>
      </c>
      <c r="BV40" s="503"/>
      <c r="BW40" s="503">
        <v>2</v>
      </c>
      <c r="BX40" s="503">
        <v>13</v>
      </c>
      <c r="BY40" s="503">
        <v>0</v>
      </c>
      <c r="BZ40" s="503">
        <v>0</v>
      </c>
      <c r="CA40" s="503">
        <v>0</v>
      </c>
      <c r="CB40" s="503">
        <v>0</v>
      </c>
      <c r="CC40" s="503">
        <v>0</v>
      </c>
      <c r="CD40" s="503">
        <v>1</v>
      </c>
      <c r="CE40" s="511">
        <v>1</v>
      </c>
      <c r="CF40" s="512">
        <v>4</v>
      </c>
      <c r="CG40" s="503">
        <v>1.1000000000000001</v>
      </c>
      <c r="CH40" s="503">
        <v>0.8</v>
      </c>
      <c r="CI40" s="503">
        <v>1.9</v>
      </c>
      <c r="CJ40" s="513">
        <v>4.6341463414634146E-2</v>
      </c>
      <c r="CK40" s="513">
        <v>0.23277974407842586</v>
      </c>
      <c r="CL40" s="503">
        <v>10.4</v>
      </c>
      <c r="CM40" s="503">
        <v>10.5</v>
      </c>
      <c r="CN40" s="503">
        <v>4</v>
      </c>
      <c r="CO40" s="503">
        <v>2</v>
      </c>
      <c r="CP40" s="503">
        <v>1.7000000000000002</v>
      </c>
      <c r="CQ40" s="503">
        <v>0</v>
      </c>
      <c r="CR40" s="503">
        <v>3.7</v>
      </c>
      <c r="CS40" s="514">
        <v>9.0243902439024401E-2</v>
      </c>
      <c r="CT40" s="514">
        <v>0.45330792267903985</v>
      </c>
      <c r="CU40" s="503"/>
      <c r="CV40" s="503"/>
      <c r="CW40" s="503"/>
      <c r="CX40" s="503">
        <v>7</v>
      </c>
      <c r="CY40" s="503" t="s">
        <v>345</v>
      </c>
      <c r="CZ40" s="503">
        <v>550000</v>
      </c>
      <c r="DA40" s="503"/>
      <c r="DB40" s="515">
        <v>2.7341463414634148</v>
      </c>
    </row>
    <row r="41" spans="1:106" x14ac:dyDescent="0.25">
      <c r="A41" s="516">
        <v>44</v>
      </c>
      <c r="B41" s="516" t="s">
        <v>372</v>
      </c>
      <c r="C41" s="516" t="s">
        <v>373</v>
      </c>
      <c r="D41" s="516" t="s">
        <v>168</v>
      </c>
      <c r="E41" s="516" t="s">
        <v>106</v>
      </c>
      <c r="F41" s="516">
        <v>73</v>
      </c>
      <c r="G41" s="516">
        <v>187</v>
      </c>
      <c r="H41" s="516" t="s">
        <v>117</v>
      </c>
      <c r="I41" s="516">
        <v>2009</v>
      </c>
      <c r="J41" s="516">
        <v>1</v>
      </c>
      <c r="K41" s="516">
        <v>12</v>
      </c>
      <c r="L41" s="516" t="s">
        <v>108</v>
      </c>
      <c r="M41" s="516">
        <v>22</v>
      </c>
      <c r="N41" s="516" t="s">
        <v>374</v>
      </c>
      <c r="O41" s="518" t="s">
        <v>375</v>
      </c>
      <c r="P41" s="518" t="s">
        <v>376</v>
      </c>
      <c r="Q41" s="516" t="s">
        <v>252</v>
      </c>
      <c r="R41" s="516"/>
      <c r="S41" s="516"/>
      <c r="T41" s="518" t="s">
        <v>138</v>
      </c>
      <c r="U41" s="516">
        <v>51</v>
      </c>
      <c r="V41" s="516">
        <v>3</v>
      </c>
      <c r="W41" s="516">
        <v>13</v>
      </c>
      <c r="X41" s="516">
        <v>16</v>
      </c>
      <c r="Y41" s="1298">
        <f t="shared" si="0"/>
        <v>0.31372549019607843</v>
      </c>
      <c r="Z41" s="1298" t="s">
        <v>668</v>
      </c>
      <c r="AA41" s="1298">
        <f>16/56</f>
        <v>0.2857142857142857</v>
      </c>
      <c r="AB41" s="516">
        <v>-7</v>
      </c>
      <c r="AC41" s="516">
        <v>71</v>
      </c>
      <c r="AD41" s="516">
        <v>25</v>
      </c>
      <c r="AE41" s="516">
        <v>57</v>
      </c>
      <c r="AF41" s="519">
        <v>4.2253521126760563E-2</v>
      </c>
      <c r="AG41" s="519">
        <v>1.9607843137254902E-2</v>
      </c>
      <c r="AH41" s="520">
        <v>53.4</v>
      </c>
      <c r="AI41" s="521">
        <v>35</v>
      </c>
      <c r="AJ41" s="521">
        <v>9</v>
      </c>
      <c r="AK41" s="521">
        <v>26</v>
      </c>
      <c r="AL41" s="517">
        <v>1072.2333333332999</v>
      </c>
      <c r="AM41" s="520">
        <v>21.024183006535292</v>
      </c>
      <c r="AN41" s="516">
        <v>1398</v>
      </c>
      <c r="AO41" s="520">
        <v>27.411764705882351</v>
      </c>
      <c r="AP41" s="522">
        <v>0.76697663328562227</v>
      </c>
      <c r="AQ41" s="521">
        <v>89.151351000000005</v>
      </c>
      <c r="AR41" s="522">
        <v>4.9887285665435082</v>
      </c>
      <c r="AS41" s="519">
        <v>4.6875E-2</v>
      </c>
      <c r="AT41" s="519">
        <v>0.203125</v>
      </c>
      <c r="AU41" s="519">
        <v>0.25</v>
      </c>
      <c r="AV41" s="516">
        <v>0</v>
      </c>
      <c r="AW41" s="516">
        <v>0</v>
      </c>
      <c r="AX41" s="523">
        <v>0</v>
      </c>
      <c r="AY41" s="516">
        <v>0</v>
      </c>
      <c r="AZ41" s="516">
        <v>58</v>
      </c>
      <c r="BA41" s="516">
        <v>114</v>
      </c>
      <c r="BB41" s="516">
        <v>104</v>
      </c>
      <c r="BC41" s="516">
        <v>25</v>
      </c>
      <c r="BD41" s="516">
        <v>34</v>
      </c>
      <c r="BE41" s="516">
        <v>30</v>
      </c>
      <c r="BF41" s="517">
        <v>3.2455622221532394</v>
      </c>
      <c r="BG41" s="520">
        <v>6.3792085056115404</v>
      </c>
      <c r="BH41" s="520">
        <v>5.8196288121368429</v>
      </c>
      <c r="BI41" s="520">
        <v>1.3989492336867411</v>
      </c>
      <c r="BJ41" s="520">
        <v>1.9025709578139678</v>
      </c>
      <c r="BK41" s="520">
        <v>1.6787390804240894</v>
      </c>
      <c r="BL41" s="516">
        <v>30</v>
      </c>
      <c r="BM41" s="516">
        <v>14</v>
      </c>
      <c r="BN41" s="516">
        <v>0</v>
      </c>
      <c r="BO41" s="516">
        <v>0</v>
      </c>
      <c r="BP41" s="516">
        <v>0</v>
      </c>
      <c r="BQ41" s="516">
        <v>0</v>
      </c>
      <c r="BR41" s="517">
        <v>0.81051699999999993</v>
      </c>
      <c r="BS41" s="516"/>
      <c r="BT41" s="516"/>
      <c r="BU41" s="524" t="s">
        <v>139</v>
      </c>
      <c r="BV41" s="516"/>
      <c r="BW41" s="516">
        <v>0</v>
      </c>
      <c r="BX41" s="516">
        <v>16</v>
      </c>
      <c r="BY41" s="516">
        <v>0</v>
      </c>
      <c r="BZ41" s="516">
        <v>0</v>
      </c>
      <c r="CA41" s="516">
        <v>1</v>
      </c>
      <c r="CB41" s="516">
        <v>0</v>
      </c>
      <c r="CC41" s="516">
        <v>0</v>
      </c>
      <c r="CD41" s="516">
        <v>0</v>
      </c>
      <c r="CE41" s="524">
        <v>0</v>
      </c>
      <c r="CF41" s="525">
        <v>5</v>
      </c>
      <c r="CG41" s="516">
        <v>0.8</v>
      </c>
      <c r="CH41" s="516">
        <v>1.6</v>
      </c>
      <c r="CI41" s="516">
        <v>2.4</v>
      </c>
      <c r="CJ41" s="526">
        <v>4.7058823529411764E-2</v>
      </c>
      <c r="CK41" s="526">
        <v>0.13429912643392714</v>
      </c>
      <c r="CL41" s="516">
        <v>19.100000000000001</v>
      </c>
      <c r="CM41" s="516">
        <v>21.9</v>
      </c>
      <c r="CN41" s="516">
        <v>-0.1</v>
      </c>
      <c r="CO41" s="516">
        <v>1.8</v>
      </c>
      <c r="CP41" s="516">
        <v>1.9</v>
      </c>
      <c r="CQ41" s="516">
        <v>0</v>
      </c>
      <c r="CR41" s="516">
        <v>3.7</v>
      </c>
      <c r="CS41" s="527">
        <v>7.2549019607843143E-2</v>
      </c>
      <c r="CT41" s="527">
        <v>0.20704448658563768</v>
      </c>
      <c r="CU41" s="516"/>
      <c r="CV41" s="516"/>
      <c r="CW41" s="516"/>
      <c r="CX41" s="516">
        <v>5</v>
      </c>
      <c r="CY41" s="516" t="s">
        <v>201</v>
      </c>
      <c r="CZ41" s="516">
        <v>1470000</v>
      </c>
      <c r="DA41" s="516"/>
      <c r="DB41" s="528">
        <v>1.1185365853658538</v>
      </c>
    </row>
    <row r="42" spans="1:106" x14ac:dyDescent="0.25">
      <c r="A42" s="529">
        <v>46</v>
      </c>
      <c r="B42" s="529" t="s">
        <v>377</v>
      </c>
      <c r="C42" s="529" t="s">
        <v>378</v>
      </c>
      <c r="D42" s="529" t="s">
        <v>379</v>
      </c>
      <c r="E42" s="529" t="s">
        <v>127</v>
      </c>
      <c r="F42" s="529">
        <v>72</v>
      </c>
      <c r="G42" s="529">
        <v>195</v>
      </c>
      <c r="H42" s="529" t="s">
        <v>117</v>
      </c>
      <c r="I42" s="529">
        <v>2008</v>
      </c>
      <c r="J42" s="529">
        <v>4</v>
      </c>
      <c r="K42" s="529">
        <v>96</v>
      </c>
      <c r="L42" s="529" t="s">
        <v>108</v>
      </c>
      <c r="M42" s="529">
        <v>23</v>
      </c>
      <c r="N42" s="529" t="s">
        <v>380</v>
      </c>
      <c r="O42" s="531" t="s">
        <v>276</v>
      </c>
      <c r="P42" s="531" t="s">
        <v>381</v>
      </c>
      <c r="Q42" s="529" t="s">
        <v>252</v>
      </c>
      <c r="R42" s="529"/>
      <c r="S42" s="529"/>
      <c r="T42" s="531" t="s">
        <v>138</v>
      </c>
      <c r="U42" s="529">
        <v>52</v>
      </c>
      <c r="V42" s="529">
        <v>2</v>
      </c>
      <c r="W42" s="529">
        <v>14</v>
      </c>
      <c r="X42" s="529">
        <v>16</v>
      </c>
      <c r="Y42" s="1298">
        <f t="shared" si="0"/>
        <v>0.30769230769230771</v>
      </c>
      <c r="Z42" s="1298" t="s">
        <v>668</v>
      </c>
      <c r="AA42" s="1298">
        <f>48/75</f>
        <v>0.64</v>
      </c>
      <c r="AB42" s="529">
        <v>-9</v>
      </c>
      <c r="AC42" s="529">
        <v>86</v>
      </c>
      <c r="AD42" s="529">
        <v>34</v>
      </c>
      <c r="AE42" s="529">
        <v>45</v>
      </c>
      <c r="AF42" s="532">
        <v>2.3255813953488372E-2</v>
      </c>
      <c r="AG42" s="532">
        <v>1.2121212121212121E-2</v>
      </c>
      <c r="AH42" s="533">
        <v>48</v>
      </c>
      <c r="AI42" s="534">
        <v>32</v>
      </c>
      <c r="AJ42" s="534">
        <v>19</v>
      </c>
      <c r="AK42" s="534">
        <v>31</v>
      </c>
      <c r="AL42" s="530">
        <v>939.6</v>
      </c>
      <c r="AM42" s="533">
        <v>18.069230769230771</v>
      </c>
      <c r="AN42" s="529">
        <v>1221</v>
      </c>
      <c r="AO42" s="533">
        <v>23.48076923076923</v>
      </c>
      <c r="AP42" s="535">
        <v>0.76953316953316953</v>
      </c>
      <c r="AQ42" s="534">
        <v>52.867384000000001</v>
      </c>
      <c r="AR42" s="535">
        <v>3.3759504469987225</v>
      </c>
      <c r="AS42" s="532">
        <v>2.7397260273972601E-2</v>
      </c>
      <c r="AT42" s="532">
        <v>0.19178082191780821</v>
      </c>
      <c r="AU42" s="532">
        <v>0.21917808219178081</v>
      </c>
      <c r="AV42" s="529">
        <v>0</v>
      </c>
      <c r="AW42" s="529">
        <v>0</v>
      </c>
      <c r="AX42" s="536">
        <v>0</v>
      </c>
      <c r="AY42" s="529">
        <v>0</v>
      </c>
      <c r="AZ42" s="529">
        <v>86</v>
      </c>
      <c r="BA42" s="529">
        <v>68</v>
      </c>
      <c r="BB42" s="529">
        <v>72</v>
      </c>
      <c r="BC42" s="529">
        <v>34</v>
      </c>
      <c r="BD42" s="529">
        <v>37</v>
      </c>
      <c r="BE42" s="529">
        <v>18</v>
      </c>
      <c r="BF42" s="530">
        <v>5.4916985951468709</v>
      </c>
      <c r="BG42" s="533">
        <v>4.3422733077905491</v>
      </c>
      <c r="BH42" s="533">
        <v>4.5977011494252871</v>
      </c>
      <c r="BI42" s="533">
        <v>2.1711366538952745</v>
      </c>
      <c r="BJ42" s="533">
        <v>2.362707535121328</v>
      </c>
      <c r="BK42" s="533">
        <v>1.1494252873563218</v>
      </c>
      <c r="BL42" s="529">
        <v>26</v>
      </c>
      <c r="BM42" s="529">
        <v>13</v>
      </c>
      <c r="BN42" s="529">
        <v>0</v>
      </c>
      <c r="BO42" s="529">
        <v>0</v>
      </c>
      <c r="BP42" s="529">
        <v>0</v>
      </c>
      <c r="BQ42" s="529">
        <v>0</v>
      </c>
      <c r="BR42" s="530">
        <v>-2.0042110000000002</v>
      </c>
      <c r="BS42" s="529"/>
      <c r="BT42" s="529"/>
      <c r="BU42" s="537" t="s">
        <v>139</v>
      </c>
      <c r="BV42" s="529"/>
      <c r="BW42" s="529">
        <v>0</v>
      </c>
      <c r="BX42" s="529">
        <v>15</v>
      </c>
      <c r="BY42" s="529">
        <v>0</v>
      </c>
      <c r="BZ42" s="529">
        <v>0</v>
      </c>
      <c r="CA42" s="529">
        <v>0</v>
      </c>
      <c r="CB42" s="529">
        <v>0</v>
      </c>
      <c r="CC42" s="529">
        <v>0</v>
      </c>
      <c r="CD42" s="529">
        <v>0</v>
      </c>
      <c r="CE42" s="537">
        <v>0</v>
      </c>
      <c r="CF42" s="538">
        <v>1</v>
      </c>
      <c r="CG42" s="529">
        <v>0.9</v>
      </c>
      <c r="CH42" s="529">
        <v>1.1000000000000001</v>
      </c>
      <c r="CI42" s="529">
        <v>2</v>
      </c>
      <c r="CJ42" s="539">
        <v>3.8461538461538464E-2</v>
      </c>
      <c r="CK42" s="539">
        <v>0.1277139208173691</v>
      </c>
      <c r="CL42" s="529">
        <v>20.3</v>
      </c>
      <c r="CM42" s="529">
        <v>20.2</v>
      </c>
      <c r="CN42" s="529">
        <v>-1.2</v>
      </c>
      <c r="CO42" s="529">
        <v>1.3</v>
      </c>
      <c r="CP42" s="529">
        <v>1.3</v>
      </c>
      <c r="CQ42" s="529">
        <v>0</v>
      </c>
      <c r="CR42" s="529">
        <v>2.6</v>
      </c>
      <c r="CS42" s="540">
        <v>0.05</v>
      </c>
      <c r="CT42" s="540">
        <v>0.16602809706257982</v>
      </c>
      <c r="CU42" s="529"/>
      <c r="CV42" s="529"/>
      <c r="CW42" s="529"/>
      <c r="CX42" s="529"/>
      <c r="CY42" s="529"/>
      <c r="CZ42" s="529">
        <v>875000</v>
      </c>
      <c r="DA42" s="529"/>
      <c r="DB42" s="541">
        <v>1.0634146341463415</v>
      </c>
    </row>
    <row r="43" spans="1:106" x14ac:dyDescent="0.25">
      <c r="A43" s="542">
        <v>18</v>
      </c>
      <c r="B43" s="542" t="s">
        <v>382</v>
      </c>
      <c r="C43" s="542" t="s">
        <v>383</v>
      </c>
      <c r="D43" s="542" t="s">
        <v>234</v>
      </c>
      <c r="E43" s="542" t="s">
        <v>106</v>
      </c>
      <c r="F43" s="542">
        <v>74</v>
      </c>
      <c r="G43" s="542">
        <v>196</v>
      </c>
      <c r="H43" s="542" t="s">
        <v>117</v>
      </c>
      <c r="I43" s="542"/>
      <c r="J43" s="542"/>
      <c r="K43" s="542"/>
      <c r="L43" s="542" t="s">
        <v>108</v>
      </c>
      <c r="M43" s="542">
        <v>24</v>
      </c>
      <c r="N43" s="542" t="s">
        <v>384</v>
      </c>
      <c r="O43" s="544" t="s">
        <v>338</v>
      </c>
      <c r="P43" s="544" t="s">
        <v>385</v>
      </c>
      <c r="Q43" s="542" t="s">
        <v>386</v>
      </c>
      <c r="R43" s="542"/>
      <c r="S43" s="542"/>
      <c r="T43" s="544" t="s">
        <v>138</v>
      </c>
      <c r="U43" s="542">
        <v>64</v>
      </c>
      <c r="V43" s="542">
        <v>1</v>
      </c>
      <c r="W43" s="542">
        <v>15</v>
      </c>
      <c r="X43" s="542">
        <v>16</v>
      </c>
      <c r="Y43" s="1298">
        <f t="shared" si="0"/>
        <v>0.25</v>
      </c>
      <c r="Z43" s="1298" t="s">
        <v>668</v>
      </c>
      <c r="AA43" s="1298">
        <f>25/73</f>
        <v>0.34246575342465752</v>
      </c>
      <c r="AB43" s="542">
        <v>5</v>
      </c>
      <c r="AC43" s="542">
        <v>65</v>
      </c>
      <c r="AD43" s="542">
        <v>30</v>
      </c>
      <c r="AE43" s="542">
        <v>52</v>
      </c>
      <c r="AF43" s="545">
        <v>1.5384615384615385E-2</v>
      </c>
      <c r="AG43" s="545">
        <v>6.8027210884353739E-3</v>
      </c>
      <c r="AH43" s="546">
        <v>55</v>
      </c>
      <c r="AI43" s="547">
        <v>37</v>
      </c>
      <c r="AJ43" s="547">
        <v>8</v>
      </c>
      <c r="AK43" s="547">
        <v>20</v>
      </c>
      <c r="AL43" s="543">
        <v>941.56666666670003</v>
      </c>
      <c r="AM43" s="546">
        <v>14.711979166667188</v>
      </c>
      <c r="AN43" s="542">
        <v>1277</v>
      </c>
      <c r="AO43" s="546">
        <v>19.953125</v>
      </c>
      <c r="AP43" s="548">
        <v>0.73732706865050901</v>
      </c>
      <c r="AQ43" s="547">
        <v>62.432431999999999</v>
      </c>
      <c r="AR43" s="548">
        <v>3.978418154140122</v>
      </c>
      <c r="AS43" s="545">
        <v>1.0309278350515464E-2</v>
      </c>
      <c r="AT43" s="545">
        <v>0.15463917525773196</v>
      </c>
      <c r="AU43" s="545">
        <v>0.16494845360824742</v>
      </c>
      <c r="AV43" s="542">
        <v>1</v>
      </c>
      <c r="AW43" s="542">
        <v>0</v>
      </c>
      <c r="AX43" s="549">
        <v>1</v>
      </c>
      <c r="AY43" s="542">
        <v>0</v>
      </c>
      <c r="AZ43" s="542">
        <v>146</v>
      </c>
      <c r="BA43" s="542">
        <v>97</v>
      </c>
      <c r="BB43" s="542">
        <v>81</v>
      </c>
      <c r="BC43" s="542">
        <v>30</v>
      </c>
      <c r="BD43" s="542">
        <v>21</v>
      </c>
      <c r="BE43" s="542">
        <v>20</v>
      </c>
      <c r="BF43" s="543">
        <v>9.3036428647286691</v>
      </c>
      <c r="BG43" s="546">
        <v>6.1811873827306911</v>
      </c>
      <c r="BH43" s="546">
        <v>5.1616100824864528</v>
      </c>
      <c r="BI43" s="546">
        <v>1.9117074379579455</v>
      </c>
      <c r="BJ43" s="546">
        <v>1.338195206570562</v>
      </c>
      <c r="BK43" s="546">
        <v>1.274471625305297</v>
      </c>
      <c r="BL43" s="542">
        <v>32</v>
      </c>
      <c r="BM43" s="542">
        <v>11</v>
      </c>
      <c r="BN43" s="542">
        <v>2</v>
      </c>
      <c r="BO43" s="542">
        <v>0</v>
      </c>
      <c r="BP43" s="542">
        <v>0</v>
      </c>
      <c r="BQ43" s="542">
        <v>0</v>
      </c>
      <c r="BR43" s="543">
        <v>0.54240599999999994</v>
      </c>
      <c r="BS43" s="542"/>
      <c r="BT43" s="542"/>
      <c r="BU43" s="550" t="s">
        <v>139</v>
      </c>
      <c r="BV43" s="542"/>
      <c r="BW43" s="542">
        <v>0</v>
      </c>
      <c r="BX43" s="542">
        <v>17</v>
      </c>
      <c r="BY43" s="542">
        <v>0</v>
      </c>
      <c r="BZ43" s="542">
        <v>1</v>
      </c>
      <c r="CA43" s="542">
        <v>0</v>
      </c>
      <c r="CB43" s="542">
        <v>0</v>
      </c>
      <c r="CC43" s="542">
        <v>0</v>
      </c>
      <c r="CD43" s="542">
        <v>0</v>
      </c>
      <c r="CE43" s="550">
        <v>0</v>
      </c>
      <c r="CF43" s="551">
        <v>3</v>
      </c>
      <c r="CG43" s="542">
        <v>0.8</v>
      </c>
      <c r="CH43" s="542">
        <v>2.8</v>
      </c>
      <c r="CI43" s="542">
        <v>3.6</v>
      </c>
      <c r="CJ43" s="552">
        <v>5.6250000000000001E-2</v>
      </c>
      <c r="CK43" s="552">
        <v>0.22940489255495347</v>
      </c>
      <c r="CL43" s="542">
        <v>17.7</v>
      </c>
      <c r="CM43" s="542">
        <v>20.9</v>
      </c>
      <c r="CN43" s="542">
        <v>8.6999999999999993</v>
      </c>
      <c r="CO43" s="542">
        <v>1.7000000000000002</v>
      </c>
      <c r="CP43" s="542">
        <v>3.8</v>
      </c>
      <c r="CQ43" s="542">
        <v>0</v>
      </c>
      <c r="CR43" s="542">
        <v>5.5</v>
      </c>
      <c r="CS43" s="553">
        <v>8.59375E-2</v>
      </c>
      <c r="CT43" s="553">
        <v>0.3504796969589567</v>
      </c>
      <c r="CU43" s="542"/>
      <c r="CV43" s="542"/>
      <c r="CW43" s="542"/>
      <c r="CX43" s="542">
        <v>16</v>
      </c>
      <c r="CY43" s="542" t="s">
        <v>387</v>
      </c>
      <c r="CZ43" s="542">
        <v>550000</v>
      </c>
      <c r="DA43" s="542"/>
      <c r="DB43" s="554">
        <v>4.5341463414634147</v>
      </c>
    </row>
    <row r="44" spans="1:106" x14ac:dyDescent="0.25">
      <c r="A44" s="555">
        <v>26</v>
      </c>
      <c r="B44" s="555" t="s">
        <v>388</v>
      </c>
      <c r="C44" s="555" t="s">
        <v>389</v>
      </c>
      <c r="D44" s="555"/>
      <c r="E44" s="555" t="s">
        <v>390</v>
      </c>
      <c r="F44" s="555">
        <v>74</v>
      </c>
      <c r="G44" s="555">
        <v>193</v>
      </c>
      <c r="H44" s="555" t="s">
        <v>117</v>
      </c>
      <c r="I44" s="555">
        <v>2011</v>
      </c>
      <c r="J44" s="555">
        <v>2</v>
      </c>
      <c r="K44" s="555">
        <v>35</v>
      </c>
      <c r="L44" s="555" t="s">
        <v>108</v>
      </c>
      <c r="M44" s="555">
        <v>21</v>
      </c>
      <c r="N44" s="555" t="s">
        <v>391</v>
      </c>
      <c r="O44" s="557" t="s">
        <v>256</v>
      </c>
      <c r="P44" s="557" t="s">
        <v>392</v>
      </c>
      <c r="Q44" s="555" t="s">
        <v>284</v>
      </c>
      <c r="R44" s="555"/>
      <c r="S44" s="555"/>
      <c r="T44" s="557" t="s">
        <v>164</v>
      </c>
      <c r="U44" s="555">
        <v>36</v>
      </c>
      <c r="V44" s="555">
        <v>8</v>
      </c>
      <c r="W44" s="555">
        <v>7</v>
      </c>
      <c r="X44" s="555">
        <v>15</v>
      </c>
      <c r="Y44" s="1298">
        <f t="shared" si="0"/>
        <v>0.41666666666666669</v>
      </c>
      <c r="Z44" s="1298" t="s">
        <v>668</v>
      </c>
      <c r="AA44" s="1298">
        <f>32/32</f>
        <v>1</v>
      </c>
      <c r="AB44" s="555">
        <v>0</v>
      </c>
      <c r="AC44" s="555">
        <v>77</v>
      </c>
      <c r="AD44" s="555">
        <v>29</v>
      </c>
      <c r="AE44" s="555">
        <v>23</v>
      </c>
      <c r="AF44" s="558">
        <v>0.1038961038961039</v>
      </c>
      <c r="AG44" s="558">
        <v>6.2015503875968991E-2</v>
      </c>
      <c r="AH44" s="559">
        <v>29.3</v>
      </c>
      <c r="AI44" s="560">
        <v>39</v>
      </c>
      <c r="AJ44" s="560">
        <v>12</v>
      </c>
      <c r="AK44" s="560">
        <v>3</v>
      </c>
      <c r="AL44" s="556">
        <v>484.75</v>
      </c>
      <c r="AM44" s="559">
        <v>13.465277777777779</v>
      </c>
      <c r="AN44" s="555">
        <v>691</v>
      </c>
      <c r="AO44" s="559">
        <v>19.194444444444443</v>
      </c>
      <c r="AP44" s="561">
        <v>0.70151953690303903</v>
      </c>
      <c r="AQ44" s="560">
        <v>45.863157999999999</v>
      </c>
      <c r="AR44" s="561">
        <v>5.676718886023723</v>
      </c>
      <c r="AS44" s="558">
        <v>0.1038961038961039</v>
      </c>
      <c r="AT44" s="558">
        <v>9.0909090909090912E-2</v>
      </c>
      <c r="AU44" s="558">
        <v>0.19480519480519481</v>
      </c>
      <c r="AV44" s="555">
        <v>0</v>
      </c>
      <c r="AW44" s="555">
        <v>0</v>
      </c>
      <c r="AX44" s="562">
        <v>0</v>
      </c>
      <c r="AY44" s="555">
        <v>0</v>
      </c>
      <c r="AZ44" s="555">
        <v>40</v>
      </c>
      <c r="BA44" s="555">
        <v>67</v>
      </c>
      <c r="BB44" s="555">
        <v>9</v>
      </c>
      <c r="BC44" s="555">
        <v>29</v>
      </c>
      <c r="BD44" s="555">
        <v>10</v>
      </c>
      <c r="BE44" s="555">
        <v>8</v>
      </c>
      <c r="BF44" s="556">
        <v>4.9510056730273337</v>
      </c>
      <c r="BG44" s="559">
        <v>8.2929345023207848</v>
      </c>
      <c r="BH44" s="559">
        <v>1.11397627643115</v>
      </c>
      <c r="BI44" s="559">
        <v>3.5894791129448169</v>
      </c>
      <c r="BJ44" s="559">
        <v>1.2377514182568334</v>
      </c>
      <c r="BK44" s="559">
        <v>0.99020113460546677</v>
      </c>
      <c r="BL44" s="555">
        <v>14</v>
      </c>
      <c r="BM44" s="555">
        <v>7</v>
      </c>
      <c r="BN44" s="555">
        <v>0</v>
      </c>
      <c r="BO44" s="555">
        <v>0</v>
      </c>
      <c r="BP44" s="555">
        <v>0</v>
      </c>
      <c r="BQ44" s="555">
        <v>0</v>
      </c>
      <c r="BR44" s="556">
        <v>2.3996279999999999</v>
      </c>
      <c r="BS44" s="555">
        <v>2</v>
      </c>
      <c r="BT44" s="555">
        <v>0</v>
      </c>
      <c r="BU44" s="563">
        <v>0</v>
      </c>
      <c r="BV44" s="555">
        <v>0</v>
      </c>
      <c r="BW44" s="555">
        <v>2</v>
      </c>
      <c r="BX44" s="555">
        <v>10</v>
      </c>
      <c r="BY44" s="555">
        <v>0</v>
      </c>
      <c r="BZ44" s="555">
        <v>0</v>
      </c>
      <c r="CA44" s="555">
        <v>0</v>
      </c>
      <c r="CB44" s="555">
        <v>0</v>
      </c>
      <c r="CC44" s="555">
        <v>0</v>
      </c>
      <c r="CD44" s="555">
        <v>0</v>
      </c>
      <c r="CE44" s="563">
        <v>0</v>
      </c>
      <c r="CF44" s="564">
        <v>4</v>
      </c>
      <c r="CG44" s="555">
        <v>1.3</v>
      </c>
      <c r="CH44" s="555">
        <v>0.5</v>
      </c>
      <c r="CI44" s="555">
        <v>1.8</v>
      </c>
      <c r="CJ44" s="565">
        <v>0.05</v>
      </c>
      <c r="CK44" s="565">
        <v>0.22279525528623001</v>
      </c>
      <c r="CL44" s="555">
        <v>11.4</v>
      </c>
      <c r="CM44" s="555">
        <v>9.9</v>
      </c>
      <c r="CN44" s="555">
        <v>0.5</v>
      </c>
      <c r="CO44" s="555">
        <v>1.6</v>
      </c>
      <c r="CP44" s="555">
        <v>0.8</v>
      </c>
      <c r="CQ44" s="555">
        <v>-0.60000000000000009</v>
      </c>
      <c r="CR44" s="555">
        <v>1.8</v>
      </c>
      <c r="CS44" s="566">
        <v>0.05</v>
      </c>
      <c r="CT44" s="566">
        <v>0.22279525528623001</v>
      </c>
      <c r="CU44" s="555"/>
      <c r="CV44" s="555"/>
      <c r="CW44" s="555"/>
      <c r="CX44" s="555">
        <v>7</v>
      </c>
      <c r="CY44" s="555" t="s">
        <v>366</v>
      </c>
      <c r="CZ44" s="555">
        <v>925000</v>
      </c>
      <c r="DA44" s="555"/>
      <c r="DB44" s="567">
        <v>0.17560975609756135</v>
      </c>
    </row>
    <row r="45" spans="1:106" x14ac:dyDescent="0.25">
      <c r="A45" s="568">
        <v>56</v>
      </c>
      <c r="B45" s="568" t="s">
        <v>393</v>
      </c>
      <c r="C45" s="568" t="s">
        <v>394</v>
      </c>
      <c r="D45" s="568"/>
      <c r="E45" s="568" t="s">
        <v>221</v>
      </c>
      <c r="F45" s="568">
        <v>71</v>
      </c>
      <c r="G45" s="568">
        <v>192</v>
      </c>
      <c r="H45" s="568" t="s">
        <v>117</v>
      </c>
      <c r="I45" s="568">
        <v>2009</v>
      </c>
      <c r="J45" s="568">
        <v>7</v>
      </c>
      <c r="K45" s="568">
        <v>182</v>
      </c>
      <c r="L45" s="568" t="s">
        <v>108</v>
      </c>
      <c r="M45" s="568">
        <v>22</v>
      </c>
      <c r="N45" s="568" t="s">
        <v>395</v>
      </c>
      <c r="O45" s="570" t="s">
        <v>396</v>
      </c>
      <c r="P45" s="570" t="s">
        <v>397</v>
      </c>
      <c r="Q45" s="568" t="s">
        <v>323</v>
      </c>
      <c r="R45" s="568"/>
      <c r="S45" s="568"/>
      <c r="T45" s="570" t="s">
        <v>238</v>
      </c>
      <c r="U45" s="568">
        <v>46</v>
      </c>
      <c r="V45" s="568">
        <v>6</v>
      </c>
      <c r="W45" s="568">
        <v>9</v>
      </c>
      <c r="X45" s="568">
        <v>15</v>
      </c>
      <c r="Y45" s="1298">
        <f t="shared" si="0"/>
        <v>0.32608695652173914</v>
      </c>
      <c r="Z45" s="1298" t="s">
        <v>668</v>
      </c>
      <c r="AA45" s="1298">
        <f>27/31</f>
        <v>0.87096774193548387</v>
      </c>
      <c r="AB45" s="568">
        <v>14</v>
      </c>
      <c r="AC45" s="568">
        <v>56</v>
      </c>
      <c r="AD45" s="568">
        <v>19</v>
      </c>
      <c r="AE45" s="568">
        <v>15</v>
      </c>
      <c r="AF45" s="571">
        <v>0.10714285714285714</v>
      </c>
      <c r="AG45" s="571">
        <v>6.6666666666666666E-2</v>
      </c>
      <c r="AH45" s="572">
        <v>28.3</v>
      </c>
      <c r="AI45" s="573">
        <v>28</v>
      </c>
      <c r="AJ45" s="573">
        <v>8</v>
      </c>
      <c r="AK45" s="573">
        <v>1</v>
      </c>
      <c r="AL45" s="569">
        <v>466.73333333329998</v>
      </c>
      <c r="AM45" s="572">
        <v>10.146376811593479</v>
      </c>
      <c r="AN45" s="568">
        <v>767</v>
      </c>
      <c r="AO45" s="572">
        <v>16.673913043478262</v>
      </c>
      <c r="AP45" s="574">
        <v>0.6085180356366362</v>
      </c>
      <c r="AQ45" s="573">
        <v>29</v>
      </c>
      <c r="AR45" s="574">
        <v>3.7280388515928959</v>
      </c>
      <c r="AS45" s="571">
        <v>9.5238095238095233E-2</v>
      </c>
      <c r="AT45" s="571">
        <v>0.14285714285714285</v>
      </c>
      <c r="AU45" s="571">
        <v>0.23809523809523808</v>
      </c>
      <c r="AV45" s="568">
        <v>161</v>
      </c>
      <c r="AW45" s="568">
        <v>187</v>
      </c>
      <c r="AX45" s="575">
        <v>0.46264367816091956</v>
      </c>
      <c r="AY45" s="568">
        <v>13.2</v>
      </c>
      <c r="AZ45" s="568">
        <v>37</v>
      </c>
      <c r="BA45" s="568">
        <v>23</v>
      </c>
      <c r="BB45" s="568">
        <v>17</v>
      </c>
      <c r="BC45" s="568">
        <v>19</v>
      </c>
      <c r="BD45" s="568">
        <v>5</v>
      </c>
      <c r="BE45" s="568">
        <v>8</v>
      </c>
      <c r="BF45" s="569">
        <v>4.7564633623771435</v>
      </c>
      <c r="BG45" s="572">
        <v>2.9567204685047108</v>
      </c>
      <c r="BH45" s="572">
        <v>2.1854020854165253</v>
      </c>
      <c r="BI45" s="572">
        <v>2.4425082131125873</v>
      </c>
      <c r="BJ45" s="572">
        <v>0.64276531924015456</v>
      </c>
      <c r="BK45" s="572">
        <v>1.0284245107842471</v>
      </c>
      <c r="BL45" s="568">
        <v>29</v>
      </c>
      <c r="BM45" s="568">
        <v>7</v>
      </c>
      <c r="BN45" s="568">
        <v>1</v>
      </c>
      <c r="BO45" s="568">
        <v>0</v>
      </c>
      <c r="BP45" s="568">
        <v>1</v>
      </c>
      <c r="BQ45" s="568">
        <v>0</v>
      </c>
      <c r="BR45" s="569">
        <v>-4.8526889999999998</v>
      </c>
      <c r="BS45" s="568"/>
      <c r="BT45" s="568"/>
      <c r="BU45" s="576" t="s">
        <v>139</v>
      </c>
      <c r="BV45" s="568"/>
      <c r="BW45" s="568">
        <v>3</v>
      </c>
      <c r="BX45" s="568">
        <v>15</v>
      </c>
      <c r="BY45" s="568">
        <v>0</v>
      </c>
      <c r="BZ45" s="568">
        <v>0</v>
      </c>
      <c r="CA45" s="568">
        <v>1</v>
      </c>
      <c r="CB45" s="568">
        <v>0</v>
      </c>
      <c r="CC45" s="568">
        <v>0</v>
      </c>
      <c r="CD45" s="568">
        <v>0</v>
      </c>
      <c r="CE45" s="576">
        <v>0</v>
      </c>
      <c r="CF45" s="577">
        <v>3</v>
      </c>
      <c r="CG45" s="568">
        <v>1</v>
      </c>
      <c r="CH45" s="568">
        <v>1.2</v>
      </c>
      <c r="CI45" s="568">
        <v>2.2000000000000002</v>
      </c>
      <c r="CJ45" s="578">
        <v>4.7826086956521741E-2</v>
      </c>
      <c r="CK45" s="578">
        <v>0.28281674046566802</v>
      </c>
      <c r="CL45" s="568">
        <v>8.8000000000000007</v>
      </c>
      <c r="CM45" s="568">
        <v>9.6999999999999993</v>
      </c>
      <c r="CN45" s="568">
        <v>12.6</v>
      </c>
      <c r="CO45" s="568">
        <v>2.1</v>
      </c>
      <c r="CP45" s="568">
        <v>2.7</v>
      </c>
      <c r="CQ45" s="568">
        <v>0</v>
      </c>
      <c r="CR45" s="568">
        <v>4.8</v>
      </c>
      <c r="CS45" s="579">
        <v>0.10434782608695652</v>
      </c>
      <c r="CT45" s="579">
        <v>0.61705470647054828</v>
      </c>
      <c r="CU45" s="568"/>
      <c r="CV45" s="568"/>
      <c r="CW45" s="568"/>
      <c r="CX45" s="568"/>
      <c r="CY45" s="568"/>
      <c r="CZ45" s="568">
        <v>1750000</v>
      </c>
      <c r="DA45" s="568"/>
      <c r="DB45" s="580">
        <v>1.7268292682926827</v>
      </c>
    </row>
    <row r="46" spans="1:106" x14ac:dyDescent="0.25">
      <c r="A46" s="581">
        <v>27</v>
      </c>
      <c r="B46" s="581" t="s">
        <v>398</v>
      </c>
      <c r="C46" s="581" t="s">
        <v>399</v>
      </c>
      <c r="D46" s="581" t="s">
        <v>142</v>
      </c>
      <c r="E46" s="581" t="s">
        <v>127</v>
      </c>
      <c r="F46" s="581">
        <v>74</v>
      </c>
      <c r="G46" s="581">
        <v>225</v>
      </c>
      <c r="H46" s="581" t="s">
        <v>117</v>
      </c>
      <c r="I46" s="581">
        <v>2009</v>
      </c>
      <c r="J46" s="581">
        <v>6</v>
      </c>
      <c r="K46" s="581">
        <v>152</v>
      </c>
      <c r="L46" s="581" t="s">
        <v>108</v>
      </c>
      <c r="M46" s="581">
        <v>23</v>
      </c>
      <c r="N46" s="581" t="s">
        <v>400</v>
      </c>
      <c r="O46" s="583" t="s">
        <v>401</v>
      </c>
      <c r="P46" s="583" t="s">
        <v>402</v>
      </c>
      <c r="Q46" s="581" t="s">
        <v>252</v>
      </c>
      <c r="R46" s="581"/>
      <c r="S46" s="581"/>
      <c r="T46" s="583" t="s">
        <v>113</v>
      </c>
      <c r="U46" s="581">
        <v>22</v>
      </c>
      <c r="V46" s="581">
        <v>9</v>
      </c>
      <c r="W46" s="581">
        <v>5</v>
      </c>
      <c r="X46" s="581">
        <v>14</v>
      </c>
      <c r="Y46" s="1298">
        <f t="shared" si="0"/>
        <v>0.63636363636363635</v>
      </c>
      <c r="Z46" s="1298" t="s">
        <v>669</v>
      </c>
      <c r="AA46" s="1298">
        <f>38/41</f>
        <v>0.92682926829268297</v>
      </c>
      <c r="AB46" s="581">
        <v>3</v>
      </c>
      <c r="AC46" s="581">
        <v>68</v>
      </c>
      <c r="AD46" s="581">
        <v>21</v>
      </c>
      <c r="AE46" s="581">
        <v>10</v>
      </c>
      <c r="AF46" s="584">
        <v>0.13235294117647059</v>
      </c>
      <c r="AG46" s="584">
        <v>9.0909090909090912E-2</v>
      </c>
      <c r="AH46" s="585">
        <v>22.2</v>
      </c>
      <c r="AI46" s="586">
        <v>32</v>
      </c>
      <c r="AJ46" s="586">
        <v>9</v>
      </c>
      <c r="AK46" s="586">
        <v>2</v>
      </c>
      <c r="AL46" s="582">
        <v>345.9</v>
      </c>
      <c r="AM46" s="585">
        <v>15.722727272727271</v>
      </c>
      <c r="AN46" s="581">
        <v>464</v>
      </c>
      <c r="AO46" s="585">
        <v>21.09090909090909</v>
      </c>
      <c r="AP46" s="587">
        <v>0.74547413793103445</v>
      </c>
      <c r="AQ46" s="586">
        <v>21.333333</v>
      </c>
      <c r="AR46" s="587">
        <v>3.7004914137033826</v>
      </c>
      <c r="AS46" s="584">
        <v>0.34615384615384615</v>
      </c>
      <c r="AT46" s="584">
        <v>0.19230769230769232</v>
      </c>
      <c r="AU46" s="584">
        <v>0.53846153846153844</v>
      </c>
      <c r="AV46" s="581">
        <v>1</v>
      </c>
      <c r="AW46" s="581">
        <v>5</v>
      </c>
      <c r="AX46" s="588">
        <v>0.16666666666666666</v>
      </c>
      <c r="AY46" s="581">
        <v>0.4</v>
      </c>
      <c r="AZ46" s="581">
        <v>34</v>
      </c>
      <c r="BA46" s="581">
        <v>48</v>
      </c>
      <c r="BB46" s="581">
        <v>2</v>
      </c>
      <c r="BC46" s="581">
        <v>21</v>
      </c>
      <c r="BD46" s="581">
        <v>8</v>
      </c>
      <c r="BE46" s="581">
        <v>9</v>
      </c>
      <c r="BF46" s="582">
        <v>5.8976582827406769</v>
      </c>
      <c r="BG46" s="585">
        <v>8.3261058109280146</v>
      </c>
      <c r="BH46" s="585">
        <v>0.34692107545533396</v>
      </c>
      <c r="BI46" s="585">
        <v>3.6426712922810061</v>
      </c>
      <c r="BJ46" s="585">
        <v>1.3876843018213358</v>
      </c>
      <c r="BK46" s="585">
        <v>1.5611448395490026</v>
      </c>
      <c r="BL46" s="581">
        <v>14</v>
      </c>
      <c r="BM46" s="581">
        <v>7</v>
      </c>
      <c r="BN46" s="581">
        <v>0</v>
      </c>
      <c r="BO46" s="581">
        <v>0</v>
      </c>
      <c r="BP46" s="581">
        <v>0</v>
      </c>
      <c r="BQ46" s="581">
        <v>0</v>
      </c>
      <c r="BR46" s="582">
        <v>-3.3868749999999999</v>
      </c>
      <c r="BS46" s="581">
        <v>1</v>
      </c>
      <c r="BT46" s="581">
        <v>0</v>
      </c>
      <c r="BU46" s="589">
        <v>0</v>
      </c>
      <c r="BV46" s="581">
        <v>0</v>
      </c>
      <c r="BW46" s="581">
        <v>1</v>
      </c>
      <c r="BX46" s="581">
        <v>8</v>
      </c>
      <c r="BY46" s="581">
        <v>0</v>
      </c>
      <c r="BZ46" s="581">
        <v>0</v>
      </c>
      <c r="CA46" s="581">
        <v>0</v>
      </c>
      <c r="CB46" s="581">
        <v>0</v>
      </c>
      <c r="CC46" s="581">
        <v>0</v>
      </c>
      <c r="CD46" s="581">
        <v>0</v>
      </c>
      <c r="CE46" s="589">
        <v>0</v>
      </c>
      <c r="CF46" s="590">
        <v>5</v>
      </c>
      <c r="CG46" s="581">
        <v>1.6</v>
      </c>
      <c r="CH46" s="581">
        <v>0.5</v>
      </c>
      <c r="CI46" s="581">
        <v>2.1</v>
      </c>
      <c r="CJ46" s="591">
        <v>9.5454545454545459E-2</v>
      </c>
      <c r="CK46" s="591">
        <v>0.36426712922810062</v>
      </c>
      <c r="CL46" s="581">
        <v>7.7</v>
      </c>
      <c r="CM46" s="581">
        <v>6.3</v>
      </c>
      <c r="CN46" s="581">
        <v>6.4</v>
      </c>
      <c r="CO46" s="581">
        <v>3</v>
      </c>
      <c r="CP46" s="581">
        <v>1</v>
      </c>
      <c r="CQ46" s="581">
        <v>-0.30000000000000004</v>
      </c>
      <c r="CR46" s="581">
        <v>3.8</v>
      </c>
      <c r="CS46" s="592">
        <v>0.17272727272727273</v>
      </c>
      <c r="CT46" s="592">
        <v>0.65915004336513439</v>
      </c>
      <c r="CU46" s="581"/>
      <c r="CV46" s="581"/>
      <c r="CW46" s="581"/>
      <c r="CX46" s="581"/>
      <c r="CY46" s="581"/>
      <c r="CZ46" s="581">
        <v>1750000</v>
      </c>
      <c r="DA46" s="581"/>
      <c r="DB46" s="593">
        <v>0.72682926829268268</v>
      </c>
    </row>
    <row r="47" spans="1:106" x14ac:dyDescent="0.25">
      <c r="A47" s="594">
        <v>49</v>
      </c>
      <c r="B47" s="594" t="s">
        <v>403</v>
      </c>
      <c r="C47" s="594" t="s">
        <v>404</v>
      </c>
      <c r="D47" s="594" t="s">
        <v>159</v>
      </c>
      <c r="E47" s="594" t="s">
        <v>106</v>
      </c>
      <c r="F47" s="594">
        <v>71</v>
      </c>
      <c r="G47" s="594">
        <v>196</v>
      </c>
      <c r="H47" s="594" t="s">
        <v>117</v>
      </c>
      <c r="I47" s="594">
        <v>2010</v>
      </c>
      <c r="J47" s="594">
        <v>3</v>
      </c>
      <c r="K47" s="594">
        <v>71</v>
      </c>
      <c r="L47" s="594" t="s">
        <v>108</v>
      </c>
      <c r="M47" s="594">
        <v>21</v>
      </c>
      <c r="N47" s="594" t="s">
        <v>405</v>
      </c>
      <c r="O47" s="596" t="s">
        <v>301</v>
      </c>
      <c r="P47" s="596" t="s">
        <v>406</v>
      </c>
      <c r="Q47" s="594" t="s">
        <v>407</v>
      </c>
      <c r="R47" s="594"/>
      <c r="S47" s="594"/>
      <c r="T47" s="596" t="s">
        <v>155</v>
      </c>
      <c r="U47" s="594">
        <v>60</v>
      </c>
      <c r="V47" s="594">
        <v>7</v>
      </c>
      <c r="W47" s="594">
        <v>7</v>
      </c>
      <c r="X47" s="594">
        <v>14</v>
      </c>
      <c r="Y47" s="1298">
        <f t="shared" si="0"/>
        <v>0.23333333333333334</v>
      </c>
      <c r="Z47" s="1298" t="s">
        <v>668</v>
      </c>
      <c r="AA47" s="1298">
        <f>30/69</f>
        <v>0.43478260869565216</v>
      </c>
      <c r="AB47" s="594">
        <v>-6</v>
      </c>
      <c r="AC47" s="594">
        <v>78</v>
      </c>
      <c r="AD47" s="594">
        <v>24</v>
      </c>
      <c r="AE47" s="594">
        <v>24</v>
      </c>
      <c r="AF47" s="597">
        <v>8.9743589743589744E-2</v>
      </c>
      <c r="AG47" s="597">
        <v>5.5555555555555552E-2</v>
      </c>
      <c r="AH47" s="598">
        <v>35.299999999999997</v>
      </c>
      <c r="AI47" s="599">
        <v>55</v>
      </c>
      <c r="AJ47" s="599">
        <v>5</v>
      </c>
      <c r="AK47" s="599">
        <v>5</v>
      </c>
      <c r="AL47" s="595">
        <v>619.11666666669998</v>
      </c>
      <c r="AM47" s="598">
        <v>10.318611111111666</v>
      </c>
      <c r="AN47" s="594">
        <v>878</v>
      </c>
      <c r="AO47" s="598">
        <v>14.633333333333333</v>
      </c>
      <c r="AP47" s="600">
        <v>0.70514426727414581</v>
      </c>
      <c r="AQ47" s="599">
        <v>64.5</v>
      </c>
      <c r="AR47" s="600">
        <v>6.2508412523215204</v>
      </c>
      <c r="AS47" s="597">
        <v>6.4814814814814811E-2</v>
      </c>
      <c r="AT47" s="597">
        <v>6.4814814814814811E-2</v>
      </c>
      <c r="AU47" s="597">
        <v>0.12962962962962962</v>
      </c>
      <c r="AV47" s="594">
        <v>28</v>
      </c>
      <c r="AW47" s="594">
        <v>33</v>
      </c>
      <c r="AX47" s="601">
        <v>0.45901639344262296</v>
      </c>
      <c r="AY47" s="594">
        <v>1.6</v>
      </c>
      <c r="AZ47" s="594">
        <v>83</v>
      </c>
      <c r="BA47" s="594">
        <v>67</v>
      </c>
      <c r="BB47" s="594">
        <v>42</v>
      </c>
      <c r="BC47" s="594">
        <v>24</v>
      </c>
      <c r="BD47" s="594">
        <v>10</v>
      </c>
      <c r="BE47" s="594">
        <v>15</v>
      </c>
      <c r="BF47" s="595">
        <v>8.0437182006618002</v>
      </c>
      <c r="BG47" s="598">
        <v>6.4931219210161526</v>
      </c>
      <c r="BH47" s="598">
        <v>4.0703152340698274</v>
      </c>
      <c r="BI47" s="598">
        <v>2.3258944194684728</v>
      </c>
      <c r="BJ47" s="598">
        <v>0.96912267477853031</v>
      </c>
      <c r="BK47" s="598">
        <v>1.4536840121677952</v>
      </c>
      <c r="BL47" s="594">
        <v>18</v>
      </c>
      <c r="BM47" s="594">
        <v>9</v>
      </c>
      <c r="BN47" s="594">
        <v>0</v>
      </c>
      <c r="BO47" s="594">
        <v>0</v>
      </c>
      <c r="BP47" s="594">
        <v>0</v>
      </c>
      <c r="BQ47" s="594">
        <v>0</v>
      </c>
      <c r="BR47" s="595">
        <v>-5.0826390000000004</v>
      </c>
      <c r="BS47" s="594"/>
      <c r="BT47" s="594"/>
      <c r="BU47" s="602" t="s">
        <v>139</v>
      </c>
      <c r="BV47" s="594"/>
      <c r="BW47" s="594">
        <v>3</v>
      </c>
      <c r="BX47" s="594">
        <v>14</v>
      </c>
      <c r="BY47" s="594">
        <v>0</v>
      </c>
      <c r="BZ47" s="594">
        <v>0</v>
      </c>
      <c r="CA47" s="594">
        <v>1</v>
      </c>
      <c r="CB47" s="594">
        <v>0</v>
      </c>
      <c r="CC47" s="594">
        <v>0</v>
      </c>
      <c r="CD47" s="594">
        <v>0</v>
      </c>
      <c r="CE47" s="602">
        <v>0</v>
      </c>
      <c r="CF47" s="603">
        <v>3</v>
      </c>
      <c r="CG47" s="594">
        <v>0.7</v>
      </c>
      <c r="CH47" s="594">
        <v>0.5</v>
      </c>
      <c r="CI47" s="594">
        <v>1.2</v>
      </c>
      <c r="CJ47" s="604">
        <v>0.02</v>
      </c>
      <c r="CK47" s="604">
        <v>0.11629472097342362</v>
      </c>
      <c r="CL47" s="594">
        <v>12.3</v>
      </c>
      <c r="CM47" s="594">
        <v>12.9</v>
      </c>
      <c r="CN47" s="594">
        <v>-6.9</v>
      </c>
      <c r="CO47" s="594">
        <v>0.60000000000000009</v>
      </c>
      <c r="CP47" s="594">
        <v>0.9</v>
      </c>
      <c r="CQ47" s="594">
        <v>0</v>
      </c>
      <c r="CR47" s="594">
        <v>1.5</v>
      </c>
      <c r="CS47" s="605">
        <v>2.5000000000000001E-2</v>
      </c>
      <c r="CT47" s="605">
        <v>0.14536840121677955</v>
      </c>
      <c r="CU47" s="594"/>
      <c r="CV47" s="594"/>
      <c r="CW47" s="594"/>
      <c r="CX47" s="594">
        <v>15</v>
      </c>
      <c r="CY47" s="594" t="s">
        <v>304</v>
      </c>
      <c r="CZ47" s="594">
        <v>870000</v>
      </c>
      <c r="DA47" s="594"/>
      <c r="DB47" s="606">
        <v>-2.7804878048780513E-2</v>
      </c>
    </row>
    <row r="48" spans="1:106" x14ac:dyDescent="0.25">
      <c r="A48" s="607">
        <v>71</v>
      </c>
      <c r="B48" s="607" t="s">
        <v>408</v>
      </c>
      <c r="C48" s="607" t="s">
        <v>409</v>
      </c>
      <c r="D48" s="607"/>
      <c r="E48" s="607" t="s">
        <v>390</v>
      </c>
      <c r="F48" s="607">
        <v>73</v>
      </c>
      <c r="G48" s="607">
        <v>208</v>
      </c>
      <c r="H48" s="607" t="s">
        <v>117</v>
      </c>
      <c r="I48" s="607">
        <v>2009</v>
      </c>
      <c r="J48" s="607">
        <v>2</v>
      </c>
      <c r="K48" s="607">
        <v>52</v>
      </c>
      <c r="L48" s="607" t="s">
        <v>108</v>
      </c>
      <c r="M48" s="607">
        <v>22</v>
      </c>
      <c r="N48" s="607" t="s">
        <v>410</v>
      </c>
      <c r="O48" s="609" t="s">
        <v>411</v>
      </c>
      <c r="P48" s="609" t="s">
        <v>412</v>
      </c>
      <c r="Q48" s="607" t="s">
        <v>121</v>
      </c>
      <c r="R48" s="607"/>
      <c r="S48" s="607"/>
      <c r="T48" s="609" t="s">
        <v>413</v>
      </c>
      <c r="U48" s="607">
        <v>50</v>
      </c>
      <c r="V48" s="607">
        <v>3</v>
      </c>
      <c r="W48" s="607">
        <v>10</v>
      </c>
      <c r="X48" s="607">
        <v>13</v>
      </c>
      <c r="Y48" s="1298">
        <f t="shared" si="0"/>
        <v>0.26</v>
      </c>
      <c r="Z48" s="1298" t="s">
        <v>668</v>
      </c>
      <c r="AA48" s="1298">
        <f>41/51</f>
        <v>0.80392156862745101</v>
      </c>
      <c r="AB48" s="607">
        <v>-9</v>
      </c>
      <c r="AC48" s="607">
        <v>56</v>
      </c>
      <c r="AD48" s="607">
        <v>32</v>
      </c>
      <c r="AE48" s="607">
        <v>26</v>
      </c>
      <c r="AF48" s="610">
        <v>5.3571428571428568E-2</v>
      </c>
      <c r="AG48" s="610">
        <v>2.6315789473684209E-2</v>
      </c>
      <c r="AH48" s="611">
        <v>31.4</v>
      </c>
      <c r="AI48" s="612">
        <v>29</v>
      </c>
      <c r="AJ48" s="612">
        <v>4</v>
      </c>
      <c r="AK48" s="612">
        <v>4</v>
      </c>
      <c r="AL48" s="608">
        <v>634.61666666669998</v>
      </c>
      <c r="AM48" s="611">
        <v>12.692333333334</v>
      </c>
      <c r="AN48" s="607">
        <v>857</v>
      </c>
      <c r="AO48" s="611">
        <v>17.14</v>
      </c>
      <c r="AP48" s="613">
        <v>0.74050952936604431</v>
      </c>
      <c r="AQ48" s="612">
        <v>68.428571000000005</v>
      </c>
      <c r="AR48" s="613">
        <v>6.4695972791970764</v>
      </c>
      <c r="AS48" s="610">
        <v>2.7027027027027029E-2</v>
      </c>
      <c r="AT48" s="610">
        <v>9.0090090090090086E-2</v>
      </c>
      <c r="AU48" s="610">
        <v>0.11711711711711711</v>
      </c>
      <c r="AV48" s="607">
        <v>3</v>
      </c>
      <c r="AW48" s="607">
        <v>5</v>
      </c>
      <c r="AX48" s="614">
        <v>0.375</v>
      </c>
      <c r="AY48" s="607">
        <v>0.2</v>
      </c>
      <c r="AZ48" s="607">
        <v>59</v>
      </c>
      <c r="BA48" s="607">
        <v>70</v>
      </c>
      <c r="BB48" s="607">
        <v>16</v>
      </c>
      <c r="BC48" s="607">
        <v>32</v>
      </c>
      <c r="BD48" s="607">
        <v>23</v>
      </c>
      <c r="BE48" s="607">
        <v>16</v>
      </c>
      <c r="BF48" s="608">
        <v>5.578170549150113</v>
      </c>
      <c r="BG48" s="611">
        <v>6.6181684481442025</v>
      </c>
      <c r="BH48" s="611">
        <v>1.5127242167186747</v>
      </c>
      <c r="BI48" s="611">
        <v>3.0254484334373495</v>
      </c>
      <c r="BJ48" s="611">
        <v>2.1745410615330947</v>
      </c>
      <c r="BK48" s="611">
        <v>1.5127242167186747</v>
      </c>
      <c r="BL48" s="607">
        <v>21</v>
      </c>
      <c r="BM48" s="607">
        <v>8</v>
      </c>
      <c r="BN48" s="607">
        <v>1</v>
      </c>
      <c r="BO48" s="607">
        <v>0</v>
      </c>
      <c r="BP48" s="607">
        <v>0</v>
      </c>
      <c r="BQ48" s="607">
        <v>0</v>
      </c>
      <c r="BR48" s="608">
        <v>6.1078169999999998</v>
      </c>
      <c r="BS48" s="607">
        <v>1</v>
      </c>
      <c r="BT48" s="607">
        <v>0</v>
      </c>
      <c r="BU48" s="615">
        <v>0</v>
      </c>
      <c r="BV48" s="607">
        <v>0</v>
      </c>
      <c r="BW48" s="607">
        <v>0</v>
      </c>
      <c r="BX48" s="607">
        <v>14</v>
      </c>
      <c r="BY48" s="607">
        <v>0</v>
      </c>
      <c r="BZ48" s="607">
        <v>1</v>
      </c>
      <c r="CA48" s="607">
        <v>0</v>
      </c>
      <c r="CB48" s="607">
        <v>0</v>
      </c>
      <c r="CC48" s="607">
        <v>0</v>
      </c>
      <c r="CD48" s="607">
        <v>0</v>
      </c>
      <c r="CE48" s="615">
        <v>0</v>
      </c>
      <c r="CF48" s="616">
        <v>3</v>
      </c>
      <c r="CG48" s="607">
        <v>0</v>
      </c>
      <c r="CH48" s="607">
        <v>0.2</v>
      </c>
      <c r="CI48" s="607">
        <v>0.2</v>
      </c>
      <c r="CJ48" s="617">
        <v>4.0000000000000001E-3</v>
      </c>
      <c r="CK48" s="617">
        <v>1.8909052708983434E-2</v>
      </c>
      <c r="CL48" s="607">
        <v>12.9</v>
      </c>
      <c r="CM48" s="607">
        <v>11.4</v>
      </c>
      <c r="CN48" s="607">
        <v>-10.6</v>
      </c>
      <c r="CO48" s="607">
        <v>-0.8</v>
      </c>
      <c r="CP48" s="607">
        <v>0.2</v>
      </c>
      <c r="CQ48" s="607">
        <v>-0.30000000000000004</v>
      </c>
      <c r="CR48" s="607">
        <v>-0.9</v>
      </c>
      <c r="CS48" s="618">
        <v>-1.8000000000000002E-2</v>
      </c>
      <c r="CT48" s="618">
        <v>-8.5090737190425453E-2</v>
      </c>
      <c r="CU48" s="607"/>
      <c r="CV48" s="607"/>
      <c r="CW48" s="607"/>
      <c r="CX48" s="607"/>
      <c r="CY48" s="607"/>
      <c r="CZ48" s="607">
        <v>900000</v>
      </c>
      <c r="DA48" s="607"/>
      <c r="DB48" s="619">
        <v>-2.4804878048780488</v>
      </c>
    </row>
    <row r="49" spans="1:106" x14ac:dyDescent="0.25">
      <c r="A49" s="620">
        <v>22</v>
      </c>
      <c r="B49" s="620" t="s">
        <v>414</v>
      </c>
      <c r="C49" s="620" t="s">
        <v>415</v>
      </c>
      <c r="D49" s="620" t="s">
        <v>234</v>
      </c>
      <c r="E49" s="620" t="s">
        <v>106</v>
      </c>
      <c r="F49" s="620">
        <v>72</v>
      </c>
      <c r="G49" s="620">
        <v>200</v>
      </c>
      <c r="H49" s="620" t="s">
        <v>107</v>
      </c>
      <c r="I49" s="620">
        <v>2007</v>
      </c>
      <c r="J49" s="620">
        <v>4</v>
      </c>
      <c r="K49" s="620">
        <v>112</v>
      </c>
      <c r="L49" s="620" t="s">
        <v>108</v>
      </c>
      <c r="M49" s="620">
        <v>24</v>
      </c>
      <c r="N49" s="620" t="s">
        <v>416</v>
      </c>
      <c r="O49" s="622" t="s">
        <v>417</v>
      </c>
      <c r="P49" s="622" t="s">
        <v>418</v>
      </c>
      <c r="Q49" s="620" t="s">
        <v>163</v>
      </c>
      <c r="R49" s="620"/>
      <c r="S49" s="620"/>
      <c r="T49" s="622" t="s">
        <v>207</v>
      </c>
      <c r="U49" s="620">
        <v>26</v>
      </c>
      <c r="V49" s="620">
        <v>8</v>
      </c>
      <c r="W49" s="620">
        <v>4</v>
      </c>
      <c r="X49" s="620">
        <v>12</v>
      </c>
      <c r="Y49" s="1298">
        <f t="shared" si="0"/>
        <v>0.46153846153846156</v>
      </c>
      <c r="Z49" s="1298" t="s">
        <v>668</v>
      </c>
      <c r="AA49" s="1298">
        <f>63/54</f>
        <v>1.1666666666666667</v>
      </c>
      <c r="AB49" s="620">
        <v>-3</v>
      </c>
      <c r="AC49" s="620">
        <v>69</v>
      </c>
      <c r="AD49" s="620">
        <v>20</v>
      </c>
      <c r="AE49" s="620">
        <v>13</v>
      </c>
      <c r="AF49" s="623">
        <v>0.11594202898550725</v>
      </c>
      <c r="AG49" s="623">
        <v>7.8431372549019607E-2</v>
      </c>
      <c r="AH49" s="624">
        <v>27.1</v>
      </c>
      <c r="AI49" s="625">
        <v>38</v>
      </c>
      <c r="AJ49" s="625">
        <v>8</v>
      </c>
      <c r="AK49" s="625">
        <v>4</v>
      </c>
      <c r="AL49" s="621">
        <v>386.88333333330002</v>
      </c>
      <c r="AM49" s="624">
        <v>14.880128205126924</v>
      </c>
      <c r="AN49" s="620">
        <v>519</v>
      </c>
      <c r="AO49" s="624">
        <v>19.96153846153846</v>
      </c>
      <c r="AP49" s="626">
        <v>0.74543994861907514</v>
      </c>
      <c r="AQ49" s="625">
        <v>12.642856999999999</v>
      </c>
      <c r="AR49" s="626">
        <v>1.9607239564039078</v>
      </c>
      <c r="AS49" s="623">
        <v>0.17391304347826086</v>
      </c>
      <c r="AT49" s="623">
        <v>8.6956521739130432E-2</v>
      </c>
      <c r="AU49" s="623">
        <v>0.2608695652173913</v>
      </c>
      <c r="AV49" s="620">
        <v>17</v>
      </c>
      <c r="AW49" s="620">
        <v>26</v>
      </c>
      <c r="AX49" s="627">
        <v>0.39534883720930231</v>
      </c>
      <c r="AY49" s="620">
        <v>2.6</v>
      </c>
      <c r="AZ49" s="620">
        <v>32</v>
      </c>
      <c r="BA49" s="620">
        <v>19</v>
      </c>
      <c r="BB49" s="620">
        <v>16</v>
      </c>
      <c r="BC49" s="620">
        <v>20</v>
      </c>
      <c r="BD49" s="620">
        <v>13</v>
      </c>
      <c r="BE49" s="620">
        <v>7</v>
      </c>
      <c r="BF49" s="621">
        <v>4.9627363977086079</v>
      </c>
      <c r="BG49" s="624">
        <v>2.9466247361394862</v>
      </c>
      <c r="BH49" s="624">
        <v>2.4813681988543039</v>
      </c>
      <c r="BI49" s="624">
        <v>3.1017102485678802</v>
      </c>
      <c r="BJ49" s="624">
        <v>2.0161116615691221</v>
      </c>
      <c r="BK49" s="624">
        <v>1.0855985869987581</v>
      </c>
      <c r="BL49" s="620">
        <v>4</v>
      </c>
      <c r="BM49" s="620">
        <v>2</v>
      </c>
      <c r="BN49" s="620">
        <v>0</v>
      </c>
      <c r="BO49" s="620">
        <v>0</v>
      </c>
      <c r="BP49" s="620">
        <v>0</v>
      </c>
      <c r="BQ49" s="620">
        <v>0</v>
      </c>
      <c r="BR49" s="621">
        <v>-0.50415299999999996</v>
      </c>
      <c r="BS49" s="620">
        <v>1</v>
      </c>
      <c r="BT49" s="620">
        <v>0</v>
      </c>
      <c r="BU49" s="628">
        <v>0</v>
      </c>
      <c r="BV49" s="620">
        <v>0</v>
      </c>
      <c r="BW49" s="620">
        <v>2</v>
      </c>
      <c r="BX49" s="620">
        <v>4</v>
      </c>
      <c r="BY49" s="620">
        <v>0</v>
      </c>
      <c r="BZ49" s="620">
        <v>0</v>
      </c>
      <c r="CA49" s="620">
        <v>2</v>
      </c>
      <c r="CB49" s="620">
        <v>0</v>
      </c>
      <c r="CC49" s="620">
        <v>0</v>
      </c>
      <c r="CD49" s="620">
        <v>0</v>
      </c>
      <c r="CE49" s="628">
        <v>0</v>
      </c>
      <c r="CF49" s="629">
        <v>6</v>
      </c>
      <c r="CG49" s="620">
        <v>1.2</v>
      </c>
      <c r="CH49" s="620">
        <v>0.30000000000000004</v>
      </c>
      <c r="CI49" s="620">
        <v>1.4</v>
      </c>
      <c r="CJ49" s="630">
        <v>5.3846153846153842E-2</v>
      </c>
      <c r="CK49" s="630">
        <v>0.21711971739975158</v>
      </c>
      <c r="CL49" s="620">
        <v>8.6999999999999993</v>
      </c>
      <c r="CM49" s="620">
        <v>7.7</v>
      </c>
      <c r="CN49" s="620">
        <v>-3.1</v>
      </c>
      <c r="CO49" s="620">
        <v>1.7000000000000002</v>
      </c>
      <c r="CP49" s="620">
        <v>0.30000000000000004</v>
      </c>
      <c r="CQ49" s="620">
        <v>-0.30000000000000004</v>
      </c>
      <c r="CR49" s="620">
        <v>1.7000000000000002</v>
      </c>
      <c r="CS49" s="631">
        <v>6.5384615384615388E-2</v>
      </c>
      <c r="CT49" s="631">
        <v>0.2636453711282698</v>
      </c>
      <c r="CU49" s="620"/>
      <c r="CV49" s="620"/>
      <c r="CW49" s="620"/>
      <c r="CX49" s="620"/>
      <c r="CY49" s="620"/>
      <c r="CZ49" s="620">
        <v>600000</v>
      </c>
      <c r="DA49" s="620"/>
      <c r="DB49" s="632">
        <v>0.64634146341463428</v>
      </c>
    </row>
    <row r="50" spans="1:106" x14ac:dyDescent="0.25">
      <c r="A50" s="633">
        <v>7</v>
      </c>
      <c r="B50" s="633" t="s">
        <v>335</v>
      </c>
      <c r="C50" s="633" t="s">
        <v>336</v>
      </c>
      <c r="D50" s="633" t="s">
        <v>168</v>
      </c>
      <c r="E50" s="633" t="s">
        <v>106</v>
      </c>
      <c r="F50" s="633">
        <v>71</v>
      </c>
      <c r="G50" s="633">
        <v>185</v>
      </c>
      <c r="H50" s="633" t="s">
        <v>107</v>
      </c>
      <c r="I50" s="633">
        <v>2011</v>
      </c>
      <c r="J50" s="633">
        <v>1</v>
      </c>
      <c r="K50" s="633">
        <v>12</v>
      </c>
      <c r="L50" s="633" t="s">
        <v>108</v>
      </c>
      <c r="M50" s="633">
        <v>20</v>
      </c>
      <c r="N50" s="633" t="s">
        <v>337</v>
      </c>
      <c r="O50" s="635" t="s">
        <v>338</v>
      </c>
      <c r="P50" s="635" t="s">
        <v>339</v>
      </c>
      <c r="Q50" s="633" t="s">
        <v>329</v>
      </c>
      <c r="R50" s="633"/>
      <c r="S50" s="633"/>
      <c r="T50" s="635" t="s">
        <v>138</v>
      </c>
      <c r="U50" s="633">
        <v>48</v>
      </c>
      <c r="V50" s="633">
        <v>2</v>
      </c>
      <c r="W50" s="633">
        <v>10</v>
      </c>
      <c r="X50" s="633">
        <v>12</v>
      </c>
      <c r="Y50" s="1298">
        <f t="shared" si="0"/>
        <v>0.25</v>
      </c>
      <c r="Z50" s="1298" t="s">
        <v>670</v>
      </c>
      <c r="AA50" s="1298">
        <f>48/54</f>
        <v>0.88888888888888884</v>
      </c>
      <c r="AB50" s="633">
        <v>-9</v>
      </c>
      <c r="AC50" s="633">
        <v>81</v>
      </c>
      <c r="AD50" s="633">
        <v>34</v>
      </c>
      <c r="AE50" s="633">
        <v>67</v>
      </c>
      <c r="AF50" s="636">
        <v>2.4691358024691357E-2</v>
      </c>
      <c r="AG50" s="636">
        <v>1.098901098901099E-2</v>
      </c>
      <c r="AH50" s="637">
        <v>51.7</v>
      </c>
      <c r="AI50" s="638">
        <v>25</v>
      </c>
      <c r="AJ50" s="638">
        <v>10</v>
      </c>
      <c r="AK50" s="638">
        <v>44</v>
      </c>
      <c r="AL50" s="634">
        <v>877.7</v>
      </c>
      <c r="AM50" s="637">
        <v>18.285416666666666</v>
      </c>
      <c r="AN50" s="633">
        <v>1064</v>
      </c>
      <c r="AO50" s="637">
        <v>22.166666666666668</v>
      </c>
      <c r="AP50" s="639">
        <v>0.82490601503759398</v>
      </c>
      <c r="AQ50" s="638">
        <v>138.795455</v>
      </c>
      <c r="AR50" s="639">
        <v>9.4881249857582315</v>
      </c>
      <c r="AS50" s="636">
        <v>3.2258064516129031E-2</v>
      </c>
      <c r="AT50" s="636">
        <v>0.16129032258064516</v>
      </c>
      <c r="AU50" s="636">
        <v>0.19354838709677419</v>
      </c>
      <c r="AV50" s="633">
        <v>0</v>
      </c>
      <c r="AW50" s="633">
        <v>0</v>
      </c>
      <c r="AX50" s="640">
        <v>0</v>
      </c>
      <c r="AY50" s="633">
        <v>0</v>
      </c>
      <c r="AZ50" s="633">
        <v>57</v>
      </c>
      <c r="BA50" s="633">
        <v>22</v>
      </c>
      <c r="BB50" s="633">
        <v>58</v>
      </c>
      <c r="BC50" s="633">
        <v>34</v>
      </c>
      <c r="BD50" s="633">
        <v>46</v>
      </c>
      <c r="BE50" s="633">
        <v>32</v>
      </c>
      <c r="BF50" s="634">
        <v>3.896547795374274</v>
      </c>
      <c r="BG50" s="637">
        <v>1.5039307280391934</v>
      </c>
      <c r="BH50" s="637">
        <v>3.9649082830124183</v>
      </c>
      <c r="BI50" s="637">
        <v>2.324256579696935</v>
      </c>
      <c r="BJ50" s="637">
        <v>3.1445824313546766</v>
      </c>
      <c r="BK50" s="637">
        <v>2.1875356044206447</v>
      </c>
      <c r="BL50" s="633">
        <v>10</v>
      </c>
      <c r="BM50" s="633">
        <v>5</v>
      </c>
      <c r="BN50" s="633">
        <v>0</v>
      </c>
      <c r="BO50" s="633">
        <v>0</v>
      </c>
      <c r="BP50" s="633">
        <v>0</v>
      </c>
      <c r="BQ50" s="633">
        <v>0</v>
      </c>
      <c r="BR50" s="634">
        <v>7.4162059999999999</v>
      </c>
      <c r="BS50" s="633"/>
      <c r="BT50" s="633"/>
      <c r="BU50" s="641" t="s">
        <v>139</v>
      </c>
      <c r="BV50" s="633"/>
      <c r="BW50" s="633">
        <v>0</v>
      </c>
      <c r="BX50" s="633">
        <v>11</v>
      </c>
      <c r="BY50" s="633">
        <v>0</v>
      </c>
      <c r="BZ50" s="633">
        <v>1</v>
      </c>
      <c r="CA50" s="633">
        <v>0</v>
      </c>
      <c r="CB50" s="633">
        <v>0</v>
      </c>
      <c r="CC50" s="633">
        <v>0</v>
      </c>
      <c r="CD50" s="633">
        <v>0</v>
      </c>
      <c r="CE50" s="641">
        <v>0</v>
      </c>
      <c r="CF50" s="642">
        <v>2</v>
      </c>
      <c r="CG50" s="633">
        <v>0.5</v>
      </c>
      <c r="CH50" s="633">
        <v>1.2</v>
      </c>
      <c r="CI50" s="633">
        <v>1.8</v>
      </c>
      <c r="CJ50" s="643">
        <v>3.7499999999999999E-2</v>
      </c>
      <c r="CK50" s="643">
        <v>0.12304887774866127</v>
      </c>
      <c r="CL50" s="633">
        <v>15.5</v>
      </c>
      <c r="CM50" s="633">
        <v>14.7</v>
      </c>
      <c r="CN50" s="633">
        <v>-5.6</v>
      </c>
      <c r="CO50" s="633">
        <v>1.1000000000000001</v>
      </c>
      <c r="CP50" s="633">
        <v>0.30000000000000004</v>
      </c>
      <c r="CQ50" s="633">
        <v>0</v>
      </c>
      <c r="CR50" s="633">
        <v>1.4</v>
      </c>
      <c r="CS50" s="644">
        <v>2.9166666666666664E-2</v>
      </c>
      <c r="CT50" s="644">
        <v>9.5704682693403209E-2</v>
      </c>
      <c r="CU50" s="633"/>
      <c r="CV50" s="633"/>
      <c r="CW50" s="633"/>
      <c r="CX50" s="633"/>
      <c r="CY50" s="633"/>
      <c r="CZ50" s="633">
        <v>1313333</v>
      </c>
      <c r="DA50" s="633"/>
      <c r="DB50" s="645">
        <v>-0.9063408780487805</v>
      </c>
    </row>
    <row r="51" spans="1:106" x14ac:dyDescent="0.25">
      <c r="A51" s="646">
        <v>24</v>
      </c>
      <c r="B51" s="646" t="s">
        <v>419</v>
      </c>
      <c r="C51" s="646" t="s">
        <v>260</v>
      </c>
      <c r="D51" s="646" t="s">
        <v>168</v>
      </c>
      <c r="E51" s="646" t="s">
        <v>106</v>
      </c>
      <c r="F51" s="646">
        <v>74</v>
      </c>
      <c r="G51" s="646">
        <v>194</v>
      </c>
      <c r="H51" s="646" t="s">
        <v>117</v>
      </c>
      <c r="I51" s="646">
        <v>2009</v>
      </c>
      <c r="J51" s="646">
        <v>1</v>
      </c>
      <c r="K51" s="646">
        <v>15</v>
      </c>
      <c r="L51" s="646" t="s">
        <v>108</v>
      </c>
      <c r="M51" s="646">
        <v>23</v>
      </c>
      <c r="N51" s="646" t="s">
        <v>420</v>
      </c>
      <c r="O51" s="648" t="s">
        <v>421</v>
      </c>
      <c r="P51" s="648" t="s">
        <v>422</v>
      </c>
      <c r="Q51" s="648" t="s">
        <v>246</v>
      </c>
      <c r="R51" s="646" t="s">
        <v>194</v>
      </c>
      <c r="S51" s="646">
        <v>4</v>
      </c>
      <c r="T51" s="648" t="s">
        <v>113</v>
      </c>
      <c r="U51" s="646">
        <v>43</v>
      </c>
      <c r="V51" s="646">
        <v>6</v>
      </c>
      <c r="W51" s="646">
        <v>5</v>
      </c>
      <c r="X51" s="646">
        <v>11</v>
      </c>
      <c r="Y51" s="1298">
        <f t="shared" si="0"/>
        <v>0.2558139534883721</v>
      </c>
      <c r="Z51" s="1298" t="s">
        <v>668</v>
      </c>
      <c r="AA51" s="1298">
        <f>9/10</f>
        <v>0.9</v>
      </c>
      <c r="AB51" s="646">
        <v>0</v>
      </c>
      <c r="AC51" s="646">
        <v>43</v>
      </c>
      <c r="AD51" s="646">
        <v>17</v>
      </c>
      <c r="AE51" s="646">
        <v>22</v>
      </c>
      <c r="AF51" s="649">
        <v>0.13953488372093023</v>
      </c>
      <c r="AG51" s="649">
        <v>7.3170731707317069E-2</v>
      </c>
      <c r="AH51" s="650">
        <v>31.7</v>
      </c>
      <c r="AI51" s="651">
        <v>26</v>
      </c>
      <c r="AJ51" s="651">
        <v>10</v>
      </c>
      <c r="AK51" s="651">
        <v>2</v>
      </c>
      <c r="AL51" s="647">
        <v>487.98333333329998</v>
      </c>
      <c r="AM51" s="650">
        <v>11.348449612402325</v>
      </c>
      <c r="AN51" s="646">
        <v>648</v>
      </c>
      <c r="AO51" s="650">
        <v>15.069767441860465</v>
      </c>
      <c r="AP51" s="652">
        <v>0.75306069958842592</v>
      </c>
      <c r="AQ51" s="651">
        <v>49.555556000000003</v>
      </c>
      <c r="AR51" s="652">
        <v>6.0931043273340002</v>
      </c>
      <c r="AS51" s="649">
        <v>6.1855670103092786E-2</v>
      </c>
      <c r="AT51" s="649">
        <v>5.1546391752577317E-2</v>
      </c>
      <c r="AU51" s="649">
        <v>0.1134020618556701</v>
      </c>
      <c r="AV51" s="646">
        <v>182</v>
      </c>
      <c r="AW51" s="646">
        <v>213</v>
      </c>
      <c r="AX51" s="653">
        <v>0.46075949367088609</v>
      </c>
      <c r="AY51" s="646">
        <v>14.1</v>
      </c>
      <c r="AZ51" s="646">
        <v>64</v>
      </c>
      <c r="BA51" s="646">
        <v>46</v>
      </c>
      <c r="BB51" s="646">
        <v>22</v>
      </c>
      <c r="BC51" s="646">
        <v>17</v>
      </c>
      <c r="BD51" s="646">
        <v>12</v>
      </c>
      <c r="BE51" s="646">
        <v>25</v>
      </c>
      <c r="BF51" s="647">
        <v>7.8691212131567241</v>
      </c>
      <c r="BG51" s="650">
        <v>5.6559308719563965</v>
      </c>
      <c r="BH51" s="650">
        <v>2.7050104170226241</v>
      </c>
      <c r="BI51" s="650">
        <v>2.0902353222447552</v>
      </c>
      <c r="BJ51" s="650">
        <v>1.4754602274668858</v>
      </c>
      <c r="BK51" s="650">
        <v>3.0738754738893457</v>
      </c>
      <c r="BL51" s="646">
        <v>18</v>
      </c>
      <c r="BM51" s="646">
        <v>9</v>
      </c>
      <c r="BN51" s="646">
        <v>0</v>
      </c>
      <c r="BO51" s="646">
        <v>0</v>
      </c>
      <c r="BP51" s="646">
        <v>0</v>
      </c>
      <c r="BQ51" s="646">
        <v>0</v>
      </c>
      <c r="BR51" s="647">
        <v>-3.8543690000000002</v>
      </c>
      <c r="BS51" s="646"/>
      <c r="BT51" s="646"/>
      <c r="BU51" s="654" t="s">
        <v>139</v>
      </c>
      <c r="BV51" s="646"/>
      <c r="BW51" s="646">
        <v>3</v>
      </c>
      <c r="BX51" s="646">
        <v>15</v>
      </c>
      <c r="BY51" s="646">
        <v>0</v>
      </c>
      <c r="BZ51" s="646">
        <v>0</v>
      </c>
      <c r="CA51" s="646">
        <v>0</v>
      </c>
      <c r="CB51" s="646">
        <v>0</v>
      </c>
      <c r="CC51" s="646">
        <v>0</v>
      </c>
      <c r="CD51" s="646">
        <v>0</v>
      </c>
      <c r="CE51" s="654">
        <v>0</v>
      </c>
      <c r="CF51" s="655">
        <v>2</v>
      </c>
      <c r="CG51" s="646">
        <v>0.60000000000000009</v>
      </c>
      <c r="CH51" s="646">
        <v>0.5</v>
      </c>
      <c r="CI51" s="646">
        <v>1.1000000000000001</v>
      </c>
      <c r="CJ51" s="656">
        <v>2.5581395348837212E-2</v>
      </c>
      <c r="CK51" s="656">
        <v>0.13525052085113123</v>
      </c>
      <c r="CL51" s="646">
        <v>9.8000000000000007</v>
      </c>
      <c r="CM51" s="646">
        <v>8.9</v>
      </c>
      <c r="CN51" s="646">
        <v>1.5</v>
      </c>
      <c r="CO51" s="646">
        <v>0.5</v>
      </c>
      <c r="CP51" s="646">
        <v>0.60000000000000009</v>
      </c>
      <c r="CQ51" s="646">
        <v>0</v>
      </c>
      <c r="CR51" s="646">
        <v>1.1000000000000001</v>
      </c>
      <c r="CS51" s="657">
        <v>2.5581395348837212E-2</v>
      </c>
      <c r="CT51" s="657">
        <v>0.13525052085113123</v>
      </c>
      <c r="CU51" s="646"/>
      <c r="CV51" s="646"/>
      <c r="CW51" s="646"/>
      <c r="CX51" s="646">
        <v>7</v>
      </c>
      <c r="CY51" s="646" t="s">
        <v>423</v>
      </c>
      <c r="CZ51" s="646">
        <v>1295000</v>
      </c>
      <c r="DA51" s="646"/>
      <c r="DB51" s="658">
        <v>-1.1741463414634143</v>
      </c>
    </row>
    <row r="52" spans="1:106" ht="26.25" x14ac:dyDescent="0.25">
      <c r="A52" s="659">
        <v>11</v>
      </c>
      <c r="B52" s="659" t="s">
        <v>424</v>
      </c>
      <c r="C52" s="659" t="s">
        <v>425</v>
      </c>
      <c r="D52" s="659" t="s">
        <v>426</v>
      </c>
      <c r="E52" s="659" t="s">
        <v>127</v>
      </c>
      <c r="F52" s="659">
        <v>73</v>
      </c>
      <c r="G52" s="659">
        <v>192</v>
      </c>
      <c r="H52" s="659" t="s">
        <v>107</v>
      </c>
      <c r="I52" s="659">
        <v>2009</v>
      </c>
      <c r="J52" s="659">
        <v>2</v>
      </c>
      <c r="K52" s="659">
        <v>45</v>
      </c>
      <c r="L52" s="659" t="s">
        <v>108</v>
      </c>
      <c r="M52" s="659">
        <v>22</v>
      </c>
      <c r="N52" s="659" t="s">
        <v>427</v>
      </c>
      <c r="O52" s="661" t="s">
        <v>428</v>
      </c>
      <c r="P52" s="661" t="s">
        <v>429</v>
      </c>
      <c r="Q52" s="659" t="s">
        <v>264</v>
      </c>
      <c r="R52" s="659"/>
      <c r="S52" s="659"/>
      <c r="T52" s="661" t="s">
        <v>430</v>
      </c>
      <c r="U52" s="659">
        <v>24</v>
      </c>
      <c r="V52" s="659">
        <v>5</v>
      </c>
      <c r="W52" s="659">
        <v>6</v>
      </c>
      <c r="X52" s="659">
        <v>11</v>
      </c>
      <c r="Y52" s="1298">
        <f t="shared" si="0"/>
        <v>0.45833333333333331</v>
      </c>
      <c r="Z52" s="1298" t="s">
        <v>668</v>
      </c>
      <c r="AA52" s="1298">
        <f>47/47</f>
        <v>1</v>
      </c>
      <c r="AB52" s="659">
        <v>5</v>
      </c>
      <c r="AC52" s="659">
        <v>46</v>
      </c>
      <c r="AD52" s="659">
        <v>15</v>
      </c>
      <c r="AE52" s="659">
        <v>16</v>
      </c>
      <c r="AF52" s="662">
        <v>0.10869565217391304</v>
      </c>
      <c r="AG52" s="662">
        <v>6.4935064935064929E-2</v>
      </c>
      <c r="AH52" s="663">
        <v>27.2</v>
      </c>
      <c r="AI52" s="664">
        <v>29</v>
      </c>
      <c r="AJ52" s="664">
        <v>5</v>
      </c>
      <c r="AK52" s="664">
        <v>3</v>
      </c>
      <c r="AL52" s="660">
        <v>219.95</v>
      </c>
      <c r="AM52" s="663">
        <v>9.1645833333333329</v>
      </c>
      <c r="AN52" s="659">
        <v>347</v>
      </c>
      <c r="AO52" s="663">
        <v>14.458333333333334</v>
      </c>
      <c r="AP52" s="665">
        <v>0.6338616714697406</v>
      </c>
      <c r="AQ52" s="664">
        <v>44.642856999999999</v>
      </c>
      <c r="AR52" s="665">
        <v>12.178092384632871</v>
      </c>
      <c r="AS52" s="662">
        <v>0.1111111111111111</v>
      </c>
      <c r="AT52" s="662">
        <v>0.13333333333333333</v>
      </c>
      <c r="AU52" s="662">
        <v>0.24444444444444444</v>
      </c>
      <c r="AV52" s="659">
        <v>4</v>
      </c>
      <c r="AW52" s="659">
        <v>2</v>
      </c>
      <c r="AX52" s="666">
        <v>0.66666666666666663</v>
      </c>
      <c r="AY52" s="659">
        <v>0.4</v>
      </c>
      <c r="AZ52" s="659">
        <v>29</v>
      </c>
      <c r="BA52" s="659">
        <v>20</v>
      </c>
      <c r="BB52" s="659">
        <v>2</v>
      </c>
      <c r="BC52" s="659">
        <v>15</v>
      </c>
      <c r="BD52" s="659">
        <v>0</v>
      </c>
      <c r="BE52" s="659">
        <v>9</v>
      </c>
      <c r="BF52" s="660">
        <v>7.9108888383723581</v>
      </c>
      <c r="BG52" s="663">
        <v>5.4557854057740398</v>
      </c>
      <c r="BH52" s="663">
        <v>0.54557854057740407</v>
      </c>
      <c r="BI52" s="663">
        <v>4.0918390543305296</v>
      </c>
      <c r="BJ52" s="663">
        <v>0</v>
      </c>
      <c r="BK52" s="663">
        <v>2.4551034325983179</v>
      </c>
      <c r="BL52" s="659">
        <v>32</v>
      </c>
      <c r="BM52" s="659">
        <v>6</v>
      </c>
      <c r="BN52" s="659">
        <v>0</v>
      </c>
      <c r="BO52" s="659">
        <v>2</v>
      </c>
      <c r="BP52" s="659">
        <v>0</v>
      </c>
      <c r="BQ52" s="659">
        <v>0</v>
      </c>
      <c r="BR52" s="660">
        <v>2.6285639999999999</v>
      </c>
      <c r="BS52" s="659"/>
      <c r="BT52" s="659"/>
      <c r="BU52" s="667" t="s">
        <v>139</v>
      </c>
      <c r="BV52" s="659"/>
      <c r="BW52" s="659">
        <v>0</v>
      </c>
      <c r="BX52" s="659">
        <v>5</v>
      </c>
      <c r="BY52" s="659">
        <v>0</v>
      </c>
      <c r="BZ52" s="659">
        <v>0</v>
      </c>
      <c r="CA52" s="659">
        <v>0</v>
      </c>
      <c r="CB52" s="659">
        <v>0</v>
      </c>
      <c r="CC52" s="659">
        <v>0</v>
      </c>
      <c r="CD52" s="659">
        <v>0</v>
      </c>
      <c r="CE52" s="667">
        <v>0</v>
      </c>
      <c r="CF52" s="668">
        <v>3</v>
      </c>
      <c r="CG52" s="659">
        <v>1.2</v>
      </c>
      <c r="CH52" s="659">
        <v>0.4</v>
      </c>
      <c r="CI52" s="659">
        <v>1.6</v>
      </c>
      <c r="CJ52" s="669">
        <v>6.6666666666666666E-2</v>
      </c>
      <c r="CK52" s="669">
        <v>0.43646283246192324</v>
      </c>
      <c r="CL52" s="659">
        <v>6.1</v>
      </c>
      <c r="CM52" s="659">
        <v>5.5</v>
      </c>
      <c r="CN52" s="659">
        <v>3.2</v>
      </c>
      <c r="CO52" s="659">
        <v>1.9</v>
      </c>
      <c r="CP52" s="659">
        <v>0.9</v>
      </c>
      <c r="CQ52" s="659">
        <v>0</v>
      </c>
      <c r="CR52" s="659">
        <v>2.8</v>
      </c>
      <c r="CS52" s="670">
        <v>0.11666666666666665</v>
      </c>
      <c r="CT52" s="670">
        <v>0.7638099568083655</v>
      </c>
      <c r="CU52" s="659"/>
      <c r="CV52" s="659"/>
      <c r="CW52" s="659"/>
      <c r="CX52" s="659"/>
      <c r="CY52" s="659"/>
      <c r="CZ52" s="659">
        <v>886667</v>
      </c>
      <c r="DA52" s="659"/>
      <c r="DB52" s="671">
        <v>1.2429262439024389</v>
      </c>
    </row>
    <row r="53" spans="1:106" x14ac:dyDescent="0.25">
      <c r="A53" s="672">
        <v>47</v>
      </c>
      <c r="B53" s="672" t="s">
        <v>431</v>
      </c>
      <c r="C53" s="672" t="s">
        <v>432</v>
      </c>
      <c r="D53" s="672"/>
      <c r="E53" s="672" t="s">
        <v>433</v>
      </c>
      <c r="F53" s="672">
        <v>71</v>
      </c>
      <c r="G53" s="672">
        <v>190</v>
      </c>
      <c r="H53" s="672" t="s">
        <v>117</v>
      </c>
      <c r="I53" s="672">
        <v>2011</v>
      </c>
      <c r="J53" s="672">
        <v>1</v>
      </c>
      <c r="K53" s="672">
        <v>13</v>
      </c>
      <c r="L53" s="672" t="s">
        <v>108</v>
      </c>
      <c r="M53" s="672">
        <v>21</v>
      </c>
      <c r="N53" s="672" t="s">
        <v>434</v>
      </c>
      <c r="O53" s="674" t="s">
        <v>435</v>
      </c>
      <c r="P53" s="674" t="s">
        <v>436</v>
      </c>
      <c r="Q53" s="672" t="s">
        <v>172</v>
      </c>
      <c r="R53" s="672"/>
      <c r="S53" s="672"/>
      <c r="T53" s="674" t="s">
        <v>122</v>
      </c>
      <c r="U53" s="672">
        <v>26</v>
      </c>
      <c r="V53" s="672">
        <v>2</v>
      </c>
      <c r="W53" s="672">
        <v>9</v>
      </c>
      <c r="X53" s="672">
        <v>11</v>
      </c>
      <c r="Y53" s="1298">
        <f t="shared" si="0"/>
        <v>0.42307692307692307</v>
      </c>
      <c r="Z53" s="1298" t="s">
        <v>668</v>
      </c>
      <c r="AA53" s="1298">
        <f>26/32</f>
        <v>0.8125</v>
      </c>
      <c r="AB53" s="672">
        <v>-4</v>
      </c>
      <c r="AC53" s="672">
        <v>30</v>
      </c>
      <c r="AD53" s="672">
        <v>10</v>
      </c>
      <c r="AE53" s="672">
        <v>16</v>
      </c>
      <c r="AF53" s="675">
        <v>6.6666666666666666E-2</v>
      </c>
      <c r="AG53" s="675">
        <v>3.5714285714285712E-2</v>
      </c>
      <c r="AH53" s="676">
        <v>26</v>
      </c>
      <c r="AI53" s="677">
        <v>15</v>
      </c>
      <c r="AJ53" s="677">
        <v>5</v>
      </c>
      <c r="AK53" s="677">
        <v>7</v>
      </c>
      <c r="AL53" s="673">
        <v>366.9</v>
      </c>
      <c r="AM53" s="676">
        <v>14.11153846153846</v>
      </c>
      <c r="AN53" s="672">
        <v>509</v>
      </c>
      <c r="AO53" s="676">
        <v>19.576923076923077</v>
      </c>
      <c r="AP53" s="678">
        <v>0.72082514734774061</v>
      </c>
      <c r="AQ53" s="677">
        <v>30</v>
      </c>
      <c r="AR53" s="678">
        <v>4.9059689288634507</v>
      </c>
      <c r="AS53" s="675">
        <v>4.0816326530612242E-2</v>
      </c>
      <c r="AT53" s="675">
        <v>0.18367346938775511</v>
      </c>
      <c r="AU53" s="675">
        <v>0.22448979591836735</v>
      </c>
      <c r="AV53" s="672">
        <v>0</v>
      </c>
      <c r="AW53" s="672">
        <v>0</v>
      </c>
      <c r="AX53" s="679">
        <v>0</v>
      </c>
      <c r="AY53" s="672">
        <v>0</v>
      </c>
      <c r="AZ53" s="672">
        <v>30</v>
      </c>
      <c r="BA53" s="672">
        <v>22</v>
      </c>
      <c r="BB53" s="672">
        <v>19</v>
      </c>
      <c r="BC53" s="672">
        <v>10</v>
      </c>
      <c r="BD53" s="672">
        <v>13</v>
      </c>
      <c r="BE53" s="672">
        <v>9</v>
      </c>
      <c r="BF53" s="673">
        <v>4.9059689288634507</v>
      </c>
      <c r="BG53" s="676">
        <v>3.5977105478331972</v>
      </c>
      <c r="BH53" s="676">
        <v>3.1071136549468523</v>
      </c>
      <c r="BI53" s="676">
        <v>1.635322976287817</v>
      </c>
      <c r="BJ53" s="676">
        <v>2.1259198691741621</v>
      </c>
      <c r="BK53" s="676">
        <v>1.4717906786590353</v>
      </c>
      <c r="BL53" s="672">
        <v>6</v>
      </c>
      <c r="BM53" s="672">
        <v>2</v>
      </c>
      <c r="BN53" s="672">
        <v>0</v>
      </c>
      <c r="BO53" s="672">
        <v>0</v>
      </c>
      <c r="BP53" s="672">
        <v>0</v>
      </c>
      <c r="BQ53" s="672">
        <v>0</v>
      </c>
      <c r="BR53" s="673">
        <v>3.4480580000000001</v>
      </c>
      <c r="BS53" s="672">
        <v>2</v>
      </c>
      <c r="BT53" s="672">
        <v>0</v>
      </c>
      <c r="BU53" s="680">
        <v>0</v>
      </c>
      <c r="BV53" s="672">
        <v>0</v>
      </c>
      <c r="BW53" s="672">
        <v>0</v>
      </c>
      <c r="BX53" s="672">
        <v>8</v>
      </c>
      <c r="BY53" s="672">
        <v>0</v>
      </c>
      <c r="BZ53" s="672">
        <v>0</v>
      </c>
      <c r="CA53" s="672">
        <v>0</v>
      </c>
      <c r="CB53" s="672">
        <v>0</v>
      </c>
      <c r="CC53" s="672">
        <v>0</v>
      </c>
      <c r="CD53" s="672">
        <v>0</v>
      </c>
      <c r="CE53" s="680">
        <v>0</v>
      </c>
      <c r="CF53" s="681">
        <v>3</v>
      </c>
      <c r="CG53" s="672">
        <v>0.4</v>
      </c>
      <c r="CH53" s="672">
        <v>0.30000000000000004</v>
      </c>
      <c r="CI53" s="672">
        <v>0.7</v>
      </c>
      <c r="CJ53" s="682">
        <v>2.6923076923076921E-2</v>
      </c>
      <c r="CK53" s="682">
        <v>0.11447260834014718</v>
      </c>
      <c r="CL53" s="672">
        <v>8.1999999999999993</v>
      </c>
      <c r="CM53" s="672">
        <v>6.9</v>
      </c>
      <c r="CN53" s="672">
        <v>-0.4</v>
      </c>
      <c r="CO53" s="672">
        <v>0.4</v>
      </c>
      <c r="CP53" s="672">
        <v>0.5</v>
      </c>
      <c r="CQ53" s="672">
        <v>-0.60000000000000009</v>
      </c>
      <c r="CR53" s="672">
        <v>0.4</v>
      </c>
      <c r="CS53" s="683">
        <v>1.5384615384615385E-2</v>
      </c>
      <c r="CT53" s="683">
        <v>6.5412919051512669E-2</v>
      </c>
      <c r="CU53" s="672"/>
      <c r="CV53" s="672"/>
      <c r="CW53" s="672"/>
      <c r="CX53" s="672"/>
      <c r="CY53" s="672"/>
      <c r="CZ53" s="672">
        <v>1425417</v>
      </c>
      <c r="DA53" s="672"/>
      <c r="DB53" s="684">
        <v>-2.1031713170731705</v>
      </c>
    </row>
    <row r="54" spans="1:106" x14ac:dyDescent="0.25">
      <c r="A54" s="685">
        <v>34</v>
      </c>
      <c r="B54" s="685" t="s">
        <v>437</v>
      </c>
      <c r="C54" s="685" t="s">
        <v>438</v>
      </c>
      <c r="D54" s="685" t="s">
        <v>379</v>
      </c>
      <c r="E54" s="685" t="s">
        <v>127</v>
      </c>
      <c r="F54" s="685">
        <v>75</v>
      </c>
      <c r="G54" s="685">
        <v>205</v>
      </c>
      <c r="H54" s="685" t="s">
        <v>117</v>
      </c>
      <c r="I54" s="685">
        <v>2010</v>
      </c>
      <c r="J54" s="685">
        <v>2</v>
      </c>
      <c r="K54" s="685">
        <v>38</v>
      </c>
      <c r="L54" s="685" t="s">
        <v>108</v>
      </c>
      <c r="M54" s="685">
        <v>21</v>
      </c>
      <c r="N54" s="685" t="s">
        <v>439</v>
      </c>
      <c r="O54" s="687" t="s">
        <v>440</v>
      </c>
      <c r="P54" s="687" t="s">
        <v>441</v>
      </c>
      <c r="Q54" s="685" t="s">
        <v>231</v>
      </c>
      <c r="R54" s="685"/>
      <c r="S54" s="685"/>
      <c r="T54" s="687" t="s">
        <v>138</v>
      </c>
      <c r="U54" s="685">
        <v>52</v>
      </c>
      <c r="V54" s="685">
        <v>2</v>
      </c>
      <c r="W54" s="685">
        <v>9</v>
      </c>
      <c r="X54" s="685">
        <v>11</v>
      </c>
      <c r="Y54" s="1298">
        <f t="shared" si="0"/>
        <v>0.21153846153846154</v>
      </c>
      <c r="Z54" s="1298" t="s">
        <v>668</v>
      </c>
      <c r="AA54" s="1298">
        <f>10/15</f>
        <v>0.66666666666666663</v>
      </c>
      <c r="AB54" s="685">
        <v>-3</v>
      </c>
      <c r="AC54" s="685">
        <v>45</v>
      </c>
      <c r="AD54" s="685">
        <v>24</v>
      </c>
      <c r="AE54" s="685">
        <v>54</v>
      </c>
      <c r="AF54" s="688">
        <v>4.4444444444444446E-2</v>
      </c>
      <c r="AG54" s="688">
        <v>1.6260162601626018E-2</v>
      </c>
      <c r="AH54" s="689">
        <v>49</v>
      </c>
      <c r="AI54" s="690">
        <v>10</v>
      </c>
      <c r="AJ54" s="690">
        <v>11</v>
      </c>
      <c r="AK54" s="690">
        <v>23</v>
      </c>
      <c r="AL54" s="686">
        <v>999.76666666669996</v>
      </c>
      <c r="AM54" s="689">
        <v>19.226282051282691</v>
      </c>
      <c r="AN54" s="685">
        <v>1296</v>
      </c>
      <c r="AO54" s="689">
        <v>24.923076923076923</v>
      </c>
      <c r="AP54" s="691">
        <v>0.77142489711936724</v>
      </c>
      <c r="AQ54" s="690">
        <v>61.28</v>
      </c>
      <c r="AR54" s="691">
        <v>3.6776581202279308</v>
      </c>
      <c r="AS54" s="688">
        <v>2.3809523809523808E-2</v>
      </c>
      <c r="AT54" s="688">
        <v>0.10714285714285714</v>
      </c>
      <c r="AU54" s="688">
        <v>0.13095238095238093</v>
      </c>
      <c r="AV54" s="685">
        <v>0</v>
      </c>
      <c r="AW54" s="685">
        <v>0</v>
      </c>
      <c r="AX54" s="692">
        <v>0</v>
      </c>
      <c r="AY54" s="685">
        <v>0</v>
      </c>
      <c r="AZ54" s="685">
        <v>87</v>
      </c>
      <c r="BA54" s="685">
        <v>27</v>
      </c>
      <c r="BB54" s="685">
        <v>41</v>
      </c>
      <c r="BC54" s="685">
        <v>24</v>
      </c>
      <c r="BD54" s="685">
        <v>11</v>
      </c>
      <c r="BE54" s="685">
        <v>9</v>
      </c>
      <c r="BF54" s="686">
        <v>5.221218284266155</v>
      </c>
      <c r="BG54" s="689">
        <v>1.620378088220531</v>
      </c>
      <c r="BH54" s="689">
        <v>2.4605741339645095</v>
      </c>
      <c r="BI54" s="689">
        <v>1.4403360784182497</v>
      </c>
      <c r="BJ54" s="689">
        <v>0.66015403594169775</v>
      </c>
      <c r="BK54" s="689">
        <v>0.54012602940684351</v>
      </c>
      <c r="BL54" s="685">
        <v>12</v>
      </c>
      <c r="BM54" s="685">
        <v>6</v>
      </c>
      <c r="BN54" s="685">
        <v>0</v>
      </c>
      <c r="BO54" s="685">
        <v>0</v>
      </c>
      <c r="BP54" s="685">
        <v>0</v>
      </c>
      <c r="BQ54" s="685">
        <v>0</v>
      </c>
      <c r="BR54" s="686">
        <v>1.3417939999999999</v>
      </c>
      <c r="BS54" s="685"/>
      <c r="BT54" s="685"/>
      <c r="BU54" s="693" t="s">
        <v>139</v>
      </c>
      <c r="BV54" s="685"/>
      <c r="BW54" s="685">
        <v>0</v>
      </c>
      <c r="BX54" s="685">
        <v>18</v>
      </c>
      <c r="BY54" s="685">
        <v>1</v>
      </c>
      <c r="BZ54" s="685">
        <v>0</v>
      </c>
      <c r="CA54" s="685">
        <v>2</v>
      </c>
      <c r="CB54" s="685">
        <v>0</v>
      </c>
      <c r="CC54" s="685">
        <v>0</v>
      </c>
      <c r="CD54" s="685">
        <v>0</v>
      </c>
      <c r="CE54" s="693">
        <v>0</v>
      </c>
      <c r="CF54" s="694">
        <v>1</v>
      </c>
      <c r="CG54" s="685">
        <v>0.2</v>
      </c>
      <c r="CH54" s="685">
        <v>2.4</v>
      </c>
      <c r="CI54" s="685">
        <v>2.6</v>
      </c>
      <c r="CJ54" s="695">
        <v>0.05</v>
      </c>
      <c r="CK54" s="695">
        <v>0.15603640849531036</v>
      </c>
      <c r="CL54" s="685">
        <v>17.7</v>
      </c>
      <c r="CM54" s="685">
        <v>17.8</v>
      </c>
      <c r="CN54" s="685">
        <v>-0.8</v>
      </c>
      <c r="CO54" s="685">
        <v>0.1</v>
      </c>
      <c r="CP54" s="685">
        <v>2.6</v>
      </c>
      <c r="CQ54" s="685">
        <v>0</v>
      </c>
      <c r="CR54" s="685">
        <v>2.7</v>
      </c>
      <c r="CS54" s="696">
        <v>5.1923076923076926E-2</v>
      </c>
      <c r="CT54" s="696">
        <v>0.1620378088220531</v>
      </c>
      <c r="CU54" s="685"/>
      <c r="CV54" s="685"/>
      <c r="CW54" s="685"/>
      <c r="CX54" s="685">
        <v>9</v>
      </c>
      <c r="CY54" s="685" t="s">
        <v>442</v>
      </c>
      <c r="CZ54" s="685">
        <v>900000</v>
      </c>
      <c r="DA54" s="685"/>
      <c r="DB54" s="697">
        <v>1.1195121951219513</v>
      </c>
    </row>
    <row r="55" spans="1:106" x14ac:dyDescent="0.25">
      <c r="A55" s="698">
        <v>51</v>
      </c>
      <c r="B55" s="698" t="s">
        <v>443</v>
      </c>
      <c r="C55" s="698" t="s">
        <v>444</v>
      </c>
      <c r="D55" s="698" t="s">
        <v>168</v>
      </c>
      <c r="E55" s="698" t="s">
        <v>106</v>
      </c>
      <c r="F55" s="698">
        <v>71</v>
      </c>
      <c r="G55" s="698">
        <v>181</v>
      </c>
      <c r="H55" s="698" t="s">
        <v>117</v>
      </c>
      <c r="I55" s="698">
        <v>2010</v>
      </c>
      <c r="J55" s="698">
        <v>2</v>
      </c>
      <c r="K55" s="698">
        <v>45</v>
      </c>
      <c r="L55" s="698" t="s">
        <v>108</v>
      </c>
      <c r="M55" s="698">
        <v>22</v>
      </c>
      <c r="N55" s="698" t="s">
        <v>445</v>
      </c>
      <c r="O55" s="700" t="s">
        <v>338</v>
      </c>
      <c r="P55" s="700" t="s">
        <v>446</v>
      </c>
      <c r="Q55" s="698" t="s">
        <v>137</v>
      </c>
      <c r="R55" s="698"/>
      <c r="S55" s="698"/>
      <c r="T55" s="700" t="s">
        <v>113</v>
      </c>
      <c r="U55" s="698">
        <v>23</v>
      </c>
      <c r="V55" s="698">
        <v>0</v>
      </c>
      <c r="W55" s="698">
        <v>11</v>
      </c>
      <c r="X55" s="698">
        <v>11</v>
      </c>
      <c r="Y55" s="1298">
        <f t="shared" si="0"/>
        <v>0.47826086956521741</v>
      </c>
      <c r="Z55" s="1298" t="s">
        <v>668</v>
      </c>
      <c r="AA55" s="1298">
        <f>46/49</f>
        <v>0.93877551020408168</v>
      </c>
      <c r="AB55" s="698">
        <v>0</v>
      </c>
      <c r="AC55" s="698">
        <v>42</v>
      </c>
      <c r="AD55" s="698">
        <v>12</v>
      </c>
      <c r="AE55" s="698">
        <v>10</v>
      </c>
      <c r="AF55" s="701">
        <v>0</v>
      </c>
      <c r="AG55" s="701">
        <v>0</v>
      </c>
      <c r="AH55" s="702">
        <v>34.6</v>
      </c>
      <c r="AI55" s="703">
        <v>27</v>
      </c>
      <c r="AJ55" s="703">
        <v>8</v>
      </c>
      <c r="AK55" s="703">
        <v>3</v>
      </c>
      <c r="AL55" s="699">
        <v>294.63333333330002</v>
      </c>
      <c r="AM55" s="702">
        <v>12.810144927534783</v>
      </c>
      <c r="AN55" s="698">
        <v>372</v>
      </c>
      <c r="AO55" s="702">
        <v>16.173913043478262</v>
      </c>
      <c r="AP55" s="704">
        <v>0.79202508960564522</v>
      </c>
      <c r="AQ55" s="703">
        <v>37.206349000000003</v>
      </c>
      <c r="AR55" s="704">
        <v>7.5768105215530692</v>
      </c>
      <c r="AS55" s="701">
        <v>0</v>
      </c>
      <c r="AT55" s="701">
        <v>0.25</v>
      </c>
      <c r="AU55" s="701">
        <v>0.25</v>
      </c>
      <c r="AV55" s="698">
        <v>59</v>
      </c>
      <c r="AW55" s="698">
        <v>86</v>
      </c>
      <c r="AX55" s="705">
        <v>0.40689655172413791</v>
      </c>
      <c r="AY55" s="698">
        <v>10</v>
      </c>
      <c r="AZ55" s="698">
        <v>18</v>
      </c>
      <c r="BA55" s="698">
        <v>10</v>
      </c>
      <c r="BB55" s="698">
        <v>6</v>
      </c>
      <c r="BC55" s="698">
        <v>12</v>
      </c>
      <c r="BD55" s="698">
        <v>3</v>
      </c>
      <c r="BE55" s="698">
        <v>8</v>
      </c>
      <c r="BF55" s="699">
        <v>3.6655730286235619</v>
      </c>
      <c r="BG55" s="702">
        <v>2.0364294603464237</v>
      </c>
      <c r="BH55" s="702">
        <v>1.2218576762078539</v>
      </c>
      <c r="BI55" s="702">
        <v>2.4437153524157078</v>
      </c>
      <c r="BJ55" s="702">
        <v>0.61092883810392695</v>
      </c>
      <c r="BK55" s="702">
        <v>1.6291435682771387</v>
      </c>
      <c r="BL55" s="698">
        <v>6</v>
      </c>
      <c r="BM55" s="698">
        <v>3</v>
      </c>
      <c r="BN55" s="698">
        <v>0</v>
      </c>
      <c r="BO55" s="698">
        <v>0</v>
      </c>
      <c r="BP55" s="698">
        <v>0</v>
      </c>
      <c r="BQ55" s="698">
        <v>0</v>
      </c>
      <c r="BR55" s="699">
        <v>-2.3692139999999999</v>
      </c>
      <c r="BS55" s="698">
        <v>3</v>
      </c>
      <c r="BT55" s="698">
        <v>0</v>
      </c>
      <c r="BU55" s="706">
        <v>0</v>
      </c>
      <c r="BV55" s="698">
        <v>0</v>
      </c>
      <c r="BW55" s="698">
        <v>0</v>
      </c>
      <c r="BX55" s="698">
        <v>4</v>
      </c>
      <c r="BY55" s="698">
        <v>0</v>
      </c>
      <c r="BZ55" s="698">
        <v>0</v>
      </c>
      <c r="CA55" s="698">
        <v>0</v>
      </c>
      <c r="CB55" s="698">
        <v>0</v>
      </c>
      <c r="CC55" s="698">
        <v>0</v>
      </c>
      <c r="CD55" s="698">
        <v>0</v>
      </c>
      <c r="CE55" s="706">
        <v>0</v>
      </c>
      <c r="CF55" s="707">
        <v>2</v>
      </c>
      <c r="CG55" s="698">
        <v>0.4</v>
      </c>
      <c r="CH55" s="698">
        <v>0.2</v>
      </c>
      <c r="CI55" s="698">
        <v>0.7</v>
      </c>
      <c r="CJ55" s="708">
        <v>3.043478260869565E-2</v>
      </c>
      <c r="CK55" s="708">
        <v>0.14255006222424962</v>
      </c>
      <c r="CL55" s="698">
        <v>6.6</v>
      </c>
      <c r="CM55" s="698">
        <v>5</v>
      </c>
      <c r="CN55" s="698">
        <v>-2.8</v>
      </c>
      <c r="CO55" s="698">
        <v>0.8</v>
      </c>
      <c r="CP55" s="698">
        <v>0.1</v>
      </c>
      <c r="CQ55" s="698">
        <v>-0.8</v>
      </c>
      <c r="CR55" s="698">
        <v>0.1</v>
      </c>
      <c r="CS55" s="709">
        <v>4.3478260869565218E-3</v>
      </c>
      <c r="CT55" s="709">
        <v>2.0364294603464235E-2</v>
      </c>
      <c r="CU55" s="698"/>
      <c r="CV55" s="698"/>
      <c r="CW55" s="698"/>
      <c r="CX55" s="698">
        <v>2</v>
      </c>
      <c r="CY55" s="698" t="s">
        <v>239</v>
      </c>
      <c r="CZ55" s="698">
        <v>870000</v>
      </c>
      <c r="DA55" s="698"/>
      <c r="DB55" s="710">
        <v>-1.4278048780487804</v>
      </c>
    </row>
    <row r="56" spans="1:106" x14ac:dyDescent="0.25">
      <c r="A56" s="711">
        <v>8</v>
      </c>
      <c r="B56" s="711" t="s">
        <v>447</v>
      </c>
      <c r="C56" s="711" t="s">
        <v>158</v>
      </c>
      <c r="D56" s="711" t="s">
        <v>159</v>
      </c>
      <c r="E56" s="711" t="s">
        <v>106</v>
      </c>
      <c r="F56" s="711">
        <v>73</v>
      </c>
      <c r="G56" s="711">
        <v>185</v>
      </c>
      <c r="H56" s="711" t="s">
        <v>117</v>
      </c>
      <c r="I56" s="711">
        <v>2008</v>
      </c>
      <c r="J56" s="711">
        <v>6</v>
      </c>
      <c r="K56" s="711">
        <v>152</v>
      </c>
      <c r="L56" s="711" t="s">
        <v>108</v>
      </c>
      <c r="M56" s="711">
        <v>23</v>
      </c>
      <c r="N56" s="711" t="s">
        <v>448</v>
      </c>
      <c r="O56" s="713" t="s">
        <v>184</v>
      </c>
      <c r="P56" s="713" t="s">
        <v>449</v>
      </c>
      <c r="Q56" s="711" t="s">
        <v>121</v>
      </c>
      <c r="R56" s="711"/>
      <c r="S56" s="711"/>
      <c r="T56" s="713" t="s">
        <v>138</v>
      </c>
      <c r="U56" s="711">
        <v>49</v>
      </c>
      <c r="V56" s="711">
        <v>5</v>
      </c>
      <c r="W56" s="711">
        <v>5</v>
      </c>
      <c r="X56" s="711">
        <v>10</v>
      </c>
      <c r="Y56" s="1298">
        <f t="shared" si="0"/>
        <v>0.20408163265306123</v>
      </c>
      <c r="Z56" s="1298" t="s">
        <v>668</v>
      </c>
      <c r="AA56" s="1298">
        <f>42/73</f>
        <v>0.57534246575342463</v>
      </c>
      <c r="AB56" s="711">
        <v>10</v>
      </c>
      <c r="AC56" s="711">
        <v>54</v>
      </c>
      <c r="AD56" s="711">
        <v>21</v>
      </c>
      <c r="AE56" s="711">
        <v>46</v>
      </c>
      <c r="AF56" s="714">
        <v>9.2592592592592587E-2</v>
      </c>
      <c r="AG56" s="714">
        <v>4.1322314049586778E-2</v>
      </c>
      <c r="AH56" s="715">
        <v>47.2</v>
      </c>
      <c r="AI56" s="716">
        <v>23</v>
      </c>
      <c r="AJ56" s="716">
        <v>6</v>
      </c>
      <c r="AK56" s="716">
        <v>20</v>
      </c>
      <c r="AL56" s="712">
        <v>714.25</v>
      </c>
      <c r="AM56" s="715">
        <v>14.576530612244898</v>
      </c>
      <c r="AN56" s="711">
        <v>936</v>
      </c>
      <c r="AO56" s="715">
        <v>19.102040816326532</v>
      </c>
      <c r="AP56" s="717">
        <v>0.76308760683760679</v>
      </c>
      <c r="AQ56" s="716">
        <v>0</v>
      </c>
      <c r="AR56" s="717">
        <v>0</v>
      </c>
      <c r="AS56" s="714">
        <v>7.2463768115942032E-2</v>
      </c>
      <c r="AT56" s="714">
        <v>7.2463768115942032E-2</v>
      </c>
      <c r="AU56" s="714">
        <v>0.14492753623188406</v>
      </c>
      <c r="AV56" s="711">
        <v>0</v>
      </c>
      <c r="AW56" s="711">
        <v>0</v>
      </c>
      <c r="AX56" s="718">
        <v>0</v>
      </c>
      <c r="AY56" s="711">
        <v>0</v>
      </c>
      <c r="AZ56" s="711">
        <v>48</v>
      </c>
      <c r="BA56" s="711">
        <v>28</v>
      </c>
      <c r="BB56" s="711">
        <v>38</v>
      </c>
      <c r="BC56" s="711">
        <v>21</v>
      </c>
      <c r="BD56" s="711">
        <v>27</v>
      </c>
      <c r="BE56" s="711">
        <v>10</v>
      </c>
      <c r="BF56" s="712">
        <v>4.032201610080504</v>
      </c>
      <c r="BG56" s="715">
        <v>2.3521176058802937</v>
      </c>
      <c r="BH56" s="715">
        <v>3.1921596079803991</v>
      </c>
      <c r="BI56" s="715">
        <v>1.7640882044102204</v>
      </c>
      <c r="BJ56" s="715">
        <v>2.2681134056702836</v>
      </c>
      <c r="BK56" s="715">
        <v>0.84004200210010493</v>
      </c>
      <c r="BL56" s="711">
        <v>28</v>
      </c>
      <c r="BM56" s="711">
        <v>14</v>
      </c>
      <c r="BN56" s="711">
        <v>0</v>
      </c>
      <c r="BO56" s="711">
        <v>0</v>
      </c>
      <c r="BP56" s="711">
        <v>0</v>
      </c>
      <c r="BQ56" s="711">
        <v>0</v>
      </c>
      <c r="BR56" s="712">
        <v>-9.6333029999999997</v>
      </c>
      <c r="BS56" s="711"/>
      <c r="BT56" s="711"/>
      <c r="BU56" s="719" t="s">
        <v>139</v>
      </c>
      <c r="BV56" s="711"/>
      <c r="BW56" s="711">
        <v>1</v>
      </c>
      <c r="BX56" s="711">
        <v>13</v>
      </c>
      <c r="BY56" s="711">
        <v>0</v>
      </c>
      <c r="BZ56" s="711">
        <v>0</v>
      </c>
      <c r="CA56" s="711">
        <v>0</v>
      </c>
      <c r="CB56" s="711">
        <v>0</v>
      </c>
      <c r="CC56" s="711">
        <v>0</v>
      </c>
      <c r="CD56" s="711">
        <v>0</v>
      </c>
      <c r="CE56" s="719">
        <v>0</v>
      </c>
      <c r="CF56" s="720">
        <v>0</v>
      </c>
      <c r="CG56" s="711">
        <v>0.8</v>
      </c>
      <c r="CH56" s="711">
        <v>2.2000000000000002</v>
      </c>
      <c r="CI56" s="711">
        <v>3</v>
      </c>
      <c r="CJ56" s="721">
        <v>6.1224489795918366E-2</v>
      </c>
      <c r="CK56" s="721">
        <v>0.2520126006300315</v>
      </c>
      <c r="CL56" s="711">
        <v>13.3</v>
      </c>
      <c r="CM56" s="711">
        <v>14.9</v>
      </c>
      <c r="CN56" s="711">
        <v>6.6</v>
      </c>
      <c r="CO56" s="711">
        <v>1.3</v>
      </c>
      <c r="CP56" s="711">
        <v>2.8</v>
      </c>
      <c r="CQ56" s="711">
        <v>0</v>
      </c>
      <c r="CR56" s="711">
        <v>4.0999999999999996</v>
      </c>
      <c r="CS56" s="722">
        <v>8.3673469387755092E-2</v>
      </c>
      <c r="CT56" s="722">
        <v>0.34441722086104304</v>
      </c>
      <c r="CU56" s="711"/>
      <c r="CV56" s="711"/>
      <c r="CW56" s="711"/>
      <c r="CX56" s="711">
        <v>2</v>
      </c>
      <c r="CY56" s="711" t="s">
        <v>345</v>
      </c>
      <c r="CZ56" s="711">
        <v>605000</v>
      </c>
      <c r="DA56" s="711"/>
      <c r="DB56" s="723">
        <v>3.0375609756097557</v>
      </c>
    </row>
    <row r="57" spans="1:106" x14ac:dyDescent="0.25">
      <c r="A57" s="724">
        <v>43</v>
      </c>
      <c r="B57" s="724" t="s">
        <v>450</v>
      </c>
      <c r="C57" s="724" t="s">
        <v>260</v>
      </c>
      <c r="D57" s="724" t="s">
        <v>168</v>
      </c>
      <c r="E57" s="724" t="s">
        <v>106</v>
      </c>
      <c r="F57" s="724">
        <v>76</v>
      </c>
      <c r="G57" s="724">
        <v>210</v>
      </c>
      <c r="H57" s="724" t="s">
        <v>107</v>
      </c>
      <c r="I57" s="724">
        <v>2012</v>
      </c>
      <c r="J57" s="724">
        <v>1</v>
      </c>
      <c r="K57" s="724">
        <v>16</v>
      </c>
      <c r="L57" s="724" t="s">
        <v>108</v>
      </c>
      <c r="M57" s="724">
        <v>19</v>
      </c>
      <c r="N57" s="724" t="s">
        <v>451</v>
      </c>
      <c r="O57" s="726" t="s">
        <v>452</v>
      </c>
      <c r="P57" s="726" t="s">
        <v>453</v>
      </c>
      <c r="Q57" s="724" t="s">
        <v>454</v>
      </c>
      <c r="R57" s="724"/>
      <c r="S57" s="724"/>
      <c r="T57" s="726" t="s">
        <v>164</v>
      </c>
      <c r="U57" s="724">
        <v>82</v>
      </c>
      <c r="V57" s="724">
        <v>3</v>
      </c>
      <c r="W57" s="724">
        <v>7</v>
      </c>
      <c r="X57" s="724">
        <v>10</v>
      </c>
      <c r="Y57" s="1298">
        <f t="shared" si="0"/>
        <v>0.12195121951219512</v>
      </c>
      <c r="Z57" s="1298" t="s">
        <v>670</v>
      </c>
      <c r="AA57" s="1298">
        <f>58/48</f>
        <v>1.2083333333333333</v>
      </c>
      <c r="AB57" s="724">
        <v>1</v>
      </c>
      <c r="AC57" s="724">
        <v>63</v>
      </c>
      <c r="AD57" s="724">
        <v>19</v>
      </c>
      <c r="AE57" s="724">
        <v>15</v>
      </c>
      <c r="AF57" s="727">
        <v>4.7619047619047616E-2</v>
      </c>
      <c r="AG57" s="727">
        <v>3.0927835051546393E-2</v>
      </c>
      <c r="AH57" s="728">
        <v>27.8</v>
      </c>
      <c r="AI57" s="729">
        <v>30</v>
      </c>
      <c r="AJ57" s="729">
        <v>14</v>
      </c>
      <c r="AK57" s="729">
        <v>5</v>
      </c>
      <c r="AL57" s="725">
        <v>650.95000000000005</v>
      </c>
      <c r="AM57" s="728">
        <v>7.9384146341463424</v>
      </c>
      <c r="AN57" s="724">
        <v>913</v>
      </c>
      <c r="AO57" s="728">
        <v>11.134146341463415</v>
      </c>
      <c r="AP57" s="730">
        <v>0.71297918948521366</v>
      </c>
      <c r="AQ57" s="729">
        <v>57.411765000000003</v>
      </c>
      <c r="AR57" s="730">
        <v>5.2918133497196402</v>
      </c>
      <c r="AS57" s="727">
        <v>2.4E-2</v>
      </c>
      <c r="AT57" s="727">
        <v>5.6000000000000001E-2</v>
      </c>
      <c r="AU57" s="727">
        <v>0.08</v>
      </c>
      <c r="AV57" s="724">
        <v>0</v>
      </c>
      <c r="AW57" s="724">
        <v>3</v>
      </c>
      <c r="AX57" s="731">
        <v>0</v>
      </c>
      <c r="AY57" s="724">
        <v>0</v>
      </c>
      <c r="AZ57" s="724">
        <v>120</v>
      </c>
      <c r="BA57" s="724">
        <v>197</v>
      </c>
      <c r="BB57" s="724">
        <v>13</v>
      </c>
      <c r="BC57" s="724">
        <v>19</v>
      </c>
      <c r="BD57" s="724">
        <v>10</v>
      </c>
      <c r="BE57" s="724">
        <v>17</v>
      </c>
      <c r="BF57" s="725">
        <v>11.060757354635532</v>
      </c>
      <c r="BG57" s="728">
        <v>18.15807665719333</v>
      </c>
      <c r="BH57" s="728">
        <v>1.1982487134188493</v>
      </c>
      <c r="BI57" s="728">
        <v>1.7512865811506257</v>
      </c>
      <c r="BJ57" s="728">
        <v>0.92172977955296098</v>
      </c>
      <c r="BK57" s="728">
        <v>1.5669406252400337</v>
      </c>
      <c r="BL57" s="724">
        <v>151</v>
      </c>
      <c r="BM57" s="724">
        <v>23</v>
      </c>
      <c r="BN57" s="724">
        <v>15</v>
      </c>
      <c r="BO57" s="724">
        <v>2</v>
      </c>
      <c r="BP57" s="724">
        <v>1</v>
      </c>
      <c r="BQ57" s="724">
        <v>0</v>
      </c>
      <c r="BR57" s="725">
        <v>-7.1603000000000003</v>
      </c>
      <c r="BS57" s="724"/>
      <c r="BT57" s="724"/>
      <c r="BU57" s="732" t="s">
        <v>139</v>
      </c>
      <c r="BV57" s="724"/>
      <c r="BW57" s="724">
        <v>0</v>
      </c>
      <c r="BX57" s="724">
        <v>28</v>
      </c>
      <c r="BY57" s="724">
        <v>0</v>
      </c>
      <c r="BZ57" s="724">
        <v>0</v>
      </c>
      <c r="CA57" s="724">
        <v>0</v>
      </c>
      <c r="CB57" s="724">
        <v>0</v>
      </c>
      <c r="CC57" s="724">
        <v>0</v>
      </c>
      <c r="CD57" s="724">
        <v>0</v>
      </c>
      <c r="CE57" s="732">
        <v>0</v>
      </c>
      <c r="CF57" s="733">
        <v>1</v>
      </c>
      <c r="CG57" s="724">
        <v>-0.4</v>
      </c>
      <c r="CH57" s="724">
        <v>0.8</v>
      </c>
      <c r="CI57" s="724">
        <v>0.4</v>
      </c>
      <c r="CJ57" s="734">
        <v>4.8780487804878049E-3</v>
      </c>
      <c r="CK57" s="734">
        <v>3.6869191182118448E-2</v>
      </c>
      <c r="CL57" s="724">
        <v>11.5</v>
      </c>
      <c r="CM57" s="724">
        <v>10.8</v>
      </c>
      <c r="CN57" s="724">
        <v>2.2999999999999998</v>
      </c>
      <c r="CO57" s="724">
        <v>-1.2</v>
      </c>
      <c r="CP57" s="724">
        <v>1</v>
      </c>
      <c r="CQ57" s="724">
        <v>0</v>
      </c>
      <c r="CR57" s="724">
        <v>-0.2</v>
      </c>
      <c r="CS57" s="735">
        <v>-2.4390243902439024E-3</v>
      </c>
      <c r="CT57" s="735">
        <v>-1.8434595591059224E-2</v>
      </c>
      <c r="CU57" s="724"/>
      <c r="CV57" s="724"/>
      <c r="CW57" s="724"/>
      <c r="CX57" s="724"/>
      <c r="CY57" s="724"/>
      <c r="CZ57" s="724">
        <v>1294167</v>
      </c>
      <c r="DA57" s="724"/>
      <c r="DB57" s="736">
        <v>-2.4726835121951218</v>
      </c>
    </row>
    <row r="58" spans="1:106" x14ac:dyDescent="0.25">
      <c r="A58" s="737">
        <v>59</v>
      </c>
      <c r="B58" s="737" t="s">
        <v>455</v>
      </c>
      <c r="C58" s="737" t="s">
        <v>456</v>
      </c>
      <c r="D58" s="737" t="s">
        <v>457</v>
      </c>
      <c r="E58" s="737" t="s">
        <v>127</v>
      </c>
      <c r="F58" s="737">
        <v>73</v>
      </c>
      <c r="G58" s="737">
        <v>195</v>
      </c>
      <c r="H58" s="737" t="s">
        <v>107</v>
      </c>
      <c r="I58" s="737"/>
      <c r="J58" s="737"/>
      <c r="K58" s="737"/>
      <c r="L58" s="737" t="s">
        <v>108</v>
      </c>
      <c r="M58" s="737">
        <v>23</v>
      </c>
      <c r="N58" s="737" t="s">
        <v>458</v>
      </c>
      <c r="O58" s="739" t="s">
        <v>459</v>
      </c>
      <c r="P58" s="739" t="s">
        <v>460</v>
      </c>
      <c r="Q58" s="737" t="s">
        <v>225</v>
      </c>
      <c r="R58" s="737"/>
      <c r="S58" s="737"/>
      <c r="T58" s="739" t="s">
        <v>238</v>
      </c>
      <c r="U58" s="737">
        <v>36</v>
      </c>
      <c r="V58" s="737">
        <v>5</v>
      </c>
      <c r="W58" s="737">
        <v>4</v>
      </c>
      <c r="X58" s="737">
        <v>9</v>
      </c>
      <c r="Y58" s="1298">
        <f t="shared" si="0"/>
        <v>0.25</v>
      </c>
      <c r="Z58" s="1298" t="s">
        <v>668</v>
      </c>
      <c r="AA58" s="1298">
        <f>15/25</f>
        <v>0.6</v>
      </c>
      <c r="AB58" s="737">
        <v>1</v>
      </c>
      <c r="AC58" s="737">
        <v>36</v>
      </c>
      <c r="AD58" s="737">
        <v>12</v>
      </c>
      <c r="AE58" s="737">
        <v>16</v>
      </c>
      <c r="AF58" s="740">
        <v>0.1388888888888889</v>
      </c>
      <c r="AG58" s="740">
        <v>7.8125E-2</v>
      </c>
      <c r="AH58" s="741">
        <v>23.5</v>
      </c>
      <c r="AI58" s="742">
        <v>21</v>
      </c>
      <c r="AJ58" s="742">
        <v>5</v>
      </c>
      <c r="AK58" s="742">
        <v>1</v>
      </c>
      <c r="AL58" s="738">
        <v>377.45</v>
      </c>
      <c r="AM58" s="741">
        <v>10.484722222222222</v>
      </c>
      <c r="AN58" s="737">
        <v>508</v>
      </c>
      <c r="AO58" s="741">
        <v>14.111111111111111</v>
      </c>
      <c r="AP58" s="743">
        <v>0.74301181102362202</v>
      </c>
      <c r="AQ58" s="742">
        <v>33.428570999999998</v>
      </c>
      <c r="AR58" s="743">
        <v>5.3138541793615044</v>
      </c>
      <c r="AS58" s="740">
        <v>7.3529411764705885E-2</v>
      </c>
      <c r="AT58" s="740">
        <v>5.8823529411764705E-2</v>
      </c>
      <c r="AU58" s="740">
        <v>0.13235294117647059</v>
      </c>
      <c r="AV58" s="737">
        <v>2</v>
      </c>
      <c r="AW58" s="737">
        <v>8</v>
      </c>
      <c r="AX58" s="744">
        <v>0.2</v>
      </c>
      <c r="AY58" s="737">
        <v>0.4</v>
      </c>
      <c r="AZ58" s="737">
        <v>39</v>
      </c>
      <c r="BA58" s="737">
        <v>47</v>
      </c>
      <c r="BB58" s="737">
        <v>13</v>
      </c>
      <c r="BC58" s="737">
        <v>12</v>
      </c>
      <c r="BD58" s="737">
        <v>4</v>
      </c>
      <c r="BE58" s="737">
        <v>7</v>
      </c>
      <c r="BF58" s="738">
        <v>6.1994966220691481</v>
      </c>
      <c r="BG58" s="741">
        <v>7.4711882368525631</v>
      </c>
      <c r="BH58" s="741">
        <v>2.0664988740230492</v>
      </c>
      <c r="BI58" s="741">
        <v>1.9075374221751227</v>
      </c>
      <c r="BJ58" s="741">
        <v>0.63584580739170748</v>
      </c>
      <c r="BK58" s="741">
        <v>1.1127301629354882</v>
      </c>
      <c r="BL58" s="737">
        <v>6</v>
      </c>
      <c r="BM58" s="737">
        <v>3</v>
      </c>
      <c r="BN58" s="737">
        <v>0</v>
      </c>
      <c r="BO58" s="737">
        <v>0</v>
      </c>
      <c r="BP58" s="737">
        <v>0</v>
      </c>
      <c r="BQ58" s="737">
        <v>0</v>
      </c>
      <c r="BR58" s="738">
        <v>3.3067310000000001</v>
      </c>
      <c r="BS58" s="737"/>
      <c r="BT58" s="737"/>
      <c r="BU58" s="745" t="s">
        <v>139</v>
      </c>
      <c r="BV58" s="737"/>
      <c r="BW58" s="737">
        <v>0</v>
      </c>
      <c r="BX58" s="737">
        <v>5</v>
      </c>
      <c r="BY58" s="737">
        <v>0</v>
      </c>
      <c r="BZ58" s="737">
        <v>0</v>
      </c>
      <c r="CA58" s="737">
        <v>2</v>
      </c>
      <c r="CB58" s="737">
        <v>0</v>
      </c>
      <c r="CC58" s="737">
        <v>0</v>
      </c>
      <c r="CD58" s="737">
        <v>0</v>
      </c>
      <c r="CE58" s="745">
        <v>0</v>
      </c>
      <c r="CF58" s="746">
        <v>3</v>
      </c>
      <c r="CG58" s="737">
        <v>0.5</v>
      </c>
      <c r="CH58" s="737">
        <v>0.5</v>
      </c>
      <c r="CI58" s="737">
        <v>1</v>
      </c>
      <c r="CJ58" s="747">
        <v>2.7777777777777776E-2</v>
      </c>
      <c r="CK58" s="747">
        <v>0.15896145184792687</v>
      </c>
      <c r="CL58" s="737">
        <v>7.4</v>
      </c>
      <c r="CM58" s="737">
        <v>7.2</v>
      </c>
      <c r="CN58" s="737">
        <v>0.2</v>
      </c>
      <c r="CO58" s="737">
        <v>0.60000000000000009</v>
      </c>
      <c r="CP58" s="737">
        <v>0.8</v>
      </c>
      <c r="CQ58" s="737">
        <v>0</v>
      </c>
      <c r="CR58" s="737">
        <v>1.4</v>
      </c>
      <c r="CS58" s="748">
        <v>3.888888888888889E-2</v>
      </c>
      <c r="CT58" s="748">
        <v>0.22254603258709763</v>
      </c>
      <c r="CU58" s="737"/>
      <c r="CV58" s="737"/>
      <c r="CW58" s="737"/>
      <c r="CX58" s="737">
        <v>13</v>
      </c>
      <c r="CY58" s="737" t="s">
        <v>345</v>
      </c>
      <c r="CZ58" s="737">
        <v>925000</v>
      </c>
      <c r="DA58" s="737"/>
      <c r="DB58" s="749">
        <v>-0.22439024390243878</v>
      </c>
    </row>
    <row r="59" spans="1:106" x14ac:dyDescent="0.25">
      <c r="A59" s="750">
        <v>5</v>
      </c>
      <c r="B59" s="750" t="s">
        <v>461</v>
      </c>
      <c r="C59" s="750" t="s">
        <v>444</v>
      </c>
      <c r="D59" s="750" t="s">
        <v>168</v>
      </c>
      <c r="E59" s="750" t="s">
        <v>106</v>
      </c>
      <c r="F59" s="750">
        <v>75</v>
      </c>
      <c r="G59" s="750">
        <v>209</v>
      </c>
      <c r="H59" s="750" t="s">
        <v>107</v>
      </c>
      <c r="I59" s="750">
        <v>2012</v>
      </c>
      <c r="J59" s="750">
        <v>1</v>
      </c>
      <c r="K59" s="750">
        <v>15</v>
      </c>
      <c r="L59" s="750" t="s">
        <v>108</v>
      </c>
      <c r="M59" s="750">
        <v>20</v>
      </c>
      <c r="N59" s="750" t="s">
        <v>462</v>
      </c>
      <c r="O59" s="752" t="s">
        <v>463</v>
      </c>
      <c r="P59" s="752" t="s">
        <v>464</v>
      </c>
      <c r="Q59" s="750" t="s">
        <v>465</v>
      </c>
      <c r="R59" s="750"/>
      <c r="S59" s="750"/>
      <c r="T59" s="752" t="s">
        <v>138</v>
      </c>
      <c r="U59" s="750">
        <v>49</v>
      </c>
      <c r="V59" s="750">
        <v>3</v>
      </c>
      <c r="W59" s="750">
        <v>6</v>
      </c>
      <c r="X59" s="750">
        <v>9</v>
      </c>
      <c r="Y59" s="1298">
        <f t="shared" si="0"/>
        <v>0.18367346938775511</v>
      </c>
      <c r="Z59" s="1298" t="s">
        <v>668</v>
      </c>
      <c r="AA59" s="1298">
        <f>19/27</f>
        <v>0.70370370370370372</v>
      </c>
      <c r="AB59" s="750">
        <v>-5</v>
      </c>
      <c r="AC59" s="750">
        <v>82</v>
      </c>
      <c r="AD59" s="750">
        <v>29</v>
      </c>
      <c r="AE59" s="750">
        <v>55</v>
      </c>
      <c r="AF59" s="753">
        <v>3.6585365853658534E-2</v>
      </c>
      <c r="AG59" s="753">
        <v>1.8072289156626505E-2</v>
      </c>
      <c r="AH59" s="754">
        <v>53.1</v>
      </c>
      <c r="AI59" s="755">
        <v>40</v>
      </c>
      <c r="AJ59" s="755">
        <v>8</v>
      </c>
      <c r="AK59" s="755">
        <v>32</v>
      </c>
      <c r="AL59" s="751">
        <v>843.01666666669996</v>
      </c>
      <c r="AM59" s="754">
        <v>17.204421768708162</v>
      </c>
      <c r="AN59" s="750">
        <v>1122</v>
      </c>
      <c r="AO59" s="754">
        <v>22.897959183673468</v>
      </c>
      <c r="AP59" s="756">
        <v>0.75135175282237077</v>
      </c>
      <c r="AQ59" s="755">
        <v>48.375</v>
      </c>
      <c r="AR59" s="756">
        <v>3.4429924279866575</v>
      </c>
      <c r="AS59" s="753">
        <v>4.3478260869565216E-2</v>
      </c>
      <c r="AT59" s="753">
        <v>8.6956521739130432E-2</v>
      </c>
      <c r="AU59" s="753">
        <v>0.13043478260869565</v>
      </c>
      <c r="AV59" s="750">
        <v>0</v>
      </c>
      <c r="AW59" s="750">
        <v>0</v>
      </c>
      <c r="AX59" s="757">
        <v>0</v>
      </c>
      <c r="AY59" s="750">
        <v>0</v>
      </c>
      <c r="AZ59" s="750">
        <v>91</v>
      </c>
      <c r="BA59" s="750">
        <v>45</v>
      </c>
      <c r="BB59" s="750">
        <v>49</v>
      </c>
      <c r="BC59" s="750">
        <v>29</v>
      </c>
      <c r="BD59" s="750">
        <v>15</v>
      </c>
      <c r="BE59" s="750">
        <v>12</v>
      </c>
      <c r="BF59" s="751">
        <v>6.476740277969733</v>
      </c>
      <c r="BG59" s="754">
        <v>3.2027836539410766</v>
      </c>
      <c r="BH59" s="754">
        <v>3.4874755342913946</v>
      </c>
      <c r="BI59" s="754">
        <v>2.064016132539805</v>
      </c>
      <c r="BJ59" s="754">
        <v>1.0675945513136924</v>
      </c>
      <c r="BK59" s="754">
        <v>0.85407564105095379</v>
      </c>
      <c r="BL59" s="750">
        <v>14</v>
      </c>
      <c r="BM59" s="750">
        <v>7</v>
      </c>
      <c r="BN59" s="750">
        <v>0</v>
      </c>
      <c r="BO59" s="750">
        <v>0</v>
      </c>
      <c r="BP59" s="750">
        <v>0</v>
      </c>
      <c r="BQ59" s="750">
        <v>0</v>
      </c>
      <c r="BR59" s="751">
        <v>0.66722499999999996</v>
      </c>
      <c r="BS59" s="750"/>
      <c r="BT59" s="750"/>
      <c r="BU59" s="758" t="s">
        <v>139</v>
      </c>
      <c r="BV59" s="750"/>
      <c r="BW59" s="750">
        <v>0</v>
      </c>
      <c r="BX59" s="750">
        <v>16</v>
      </c>
      <c r="BY59" s="750">
        <v>1</v>
      </c>
      <c r="BZ59" s="750">
        <v>0</v>
      </c>
      <c r="CA59" s="750">
        <v>2</v>
      </c>
      <c r="CB59" s="750">
        <v>0</v>
      </c>
      <c r="CC59" s="750">
        <v>0</v>
      </c>
      <c r="CD59" s="750">
        <v>0</v>
      </c>
      <c r="CE59" s="758">
        <v>0</v>
      </c>
      <c r="CF59" s="759">
        <v>1</v>
      </c>
      <c r="CG59" s="750">
        <v>0.30000000000000004</v>
      </c>
      <c r="CH59" s="750">
        <v>1</v>
      </c>
      <c r="CI59" s="750">
        <v>1.4</v>
      </c>
      <c r="CJ59" s="760">
        <v>2.8571428571428571E-2</v>
      </c>
      <c r="CK59" s="760">
        <v>9.9642158122611263E-2</v>
      </c>
      <c r="CL59" s="750">
        <v>15.9</v>
      </c>
      <c r="CM59" s="750">
        <v>17.899999999999999</v>
      </c>
      <c r="CN59" s="750">
        <v>-2</v>
      </c>
      <c r="CO59" s="750">
        <v>0</v>
      </c>
      <c r="CP59" s="750">
        <v>0</v>
      </c>
      <c r="CQ59" s="750">
        <v>0</v>
      </c>
      <c r="CR59" s="750">
        <v>0.1</v>
      </c>
      <c r="CS59" s="761">
        <v>2.0408163265306124E-3</v>
      </c>
      <c r="CT59" s="761">
        <v>7.1172970087579491E-3</v>
      </c>
      <c r="CU59" s="750"/>
      <c r="CV59" s="750"/>
      <c r="CW59" s="750"/>
      <c r="CX59" s="750"/>
      <c r="CY59" s="750"/>
      <c r="CZ59" s="750">
        <v>1369167</v>
      </c>
      <c r="DA59" s="750"/>
      <c r="DB59" s="762">
        <v>-2.3043908292682924</v>
      </c>
    </row>
    <row r="60" spans="1:106" ht="26.25" x14ac:dyDescent="0.25">
      <c r="A60" s="763">
        <v>92</v>
      </c>
      <c r="B60" s="763" t="s">
        <v>466</v>
      </c>
      <c r="C60" s="763" t="s">
        <v>175</v>
      </c>
      <c r="D60" s="763"/>
      <c r="E60" s="763" t="s">
        <v>176</v>
      </c>
      <c r="F60" s="763">
        <v>72</v>
      </c>
      <c r="G60" s="763">
        <v>172</v>
      </c>
      <c r="H60" s="763" t="s">
        <v>117</v>
      </c>
      <c r="I60" s="763">
        <v>2010</v>
      </c>
      <c r="J60" s="763">
        <v>1</v>
      </c>
      <c r="K60" s="763">
        <v>26</v>
      </c>
      <c r="L60" s="763" t="s">
        <v>108</v>
      </c>
      <c r="M60" s="763">
        <v>21</v>
      </c>
      <c r="N60" s="763" t="s">
        <v>467</v>
      </c>
      <c r="O60" s="765" t="s">
        <v>468</v>
      </c>
      <c r="P60" s="765" t="s">
        <v>469</v>
      </c>
      <c r="Q60" s="763" t="s">
        <v>454</v>
      </c>
      <c r="R60" s="763"/>
      <c r="S60" s="763"/>
      <c r="T60" s="765" t="s">
        <v>113</v>
      </c>
      <c r="U60" s="763">
        <v>17</v>
      </c>
      <c r="V60" s="763">
        <v>3</v>
      </c>
      <c r="W60" s="763">
        <v>6</v>
      </c>
      <c r="X60" s="763">
        <v>9</v>
      </c>
      <c r="Y60" s="1298">
        <f t="shared" si="0"/>
        <v>0.52941176470588236</v>
      </c>
      <c r="Z60" s="1298" t="s">
        <v>671</v>
      </c>
      <c r="AA60" s="1298">
        <f>21/31</f>
        <v>0.67741935483870963</v>
      </c>
      <c r="AB60" s="763">
        <v>-2</v>
      </c>
      <c r="AC60" s="763">
        <v>22</v>
      </c>
      <c r="AD60" s="763">
        <v>7</v>
      </c>
      <c r="AE60" s="763">
        <v>8</v>
      </c>
      <c r="AF60" s="766">
        <v>0.13636363636363635</v>
      </c>
      <c r="AG60" s="766">
        <v>8.1081081081081086E-2</v>
      </c>
      <c r="AH60" s="767">
        <v>31.7</v>
      </c>
      <c r="AI60" s="768">
        <v>14</v>
      </c>
      <c r="AJ60" s="768">
        <v>3</v>
      </c>
      <c r="AK60" s="768">
        <v>4</v>
      </c>
      <c r="AL60" s="764">
        <v>229.05</v>
      </c>
      <c r="AM60" s="767">
        <v>13.473529411764707</v>
      </c>
      <c r="AN60" s="763">
        <v>298</v>
      </c>
      <c r="AO60" s="767">
        <v>17.529411764705884</v>
      </c>
      <c r="AP60" s="769">
        <v>0.76862416107382558</v>
      </c>
      <c r="AQ60" s="768">
        <v>19.714286000000001</v>
      </c>
      <c r="AR60" s="769">
        <v>5.1641875573018998</v>
      </c>
      <c r="AS60" s="766">
        <v>0.13043478260869565</v>
      </c>
      <c r="AT60" s="766">
        <v>0.2608695652173913</v>
      </c>
      <c r="AU60" s="766">
        <v>0.39130434782608692</v>
      </c>
      <c r="AV60" s="763">
        <v>5</v>
      </c>
      <c r="AW60" s="763">
        <v>22</v>
      </c>
      <c r="AX60" s="770">
        <v>0.18518518518518517</v>
      </c>
      <c r="AY60" s="763">
        <v>2.7</v>
      </c>
      <c r="AZ60" s="763">
        <v>13</v>
      </c>
      <c r="BA60" s="763">
        <v>7</v>
      </c>
      <c r="BB60" s="763">
        <v>2</v>
      </c>
      <c r="BC60" s="763">
        <v>7</v>
      </c>
      <c r="BD60" s="763">
        <v>7</v>
      </c>
      <c r="BE60" s="763">
        <v>3</v>
      </c>
      <c r="BF60" s="764">
        <v>3.4053700065487882</v>
      </c>
      <c r="BG60" s="767">
        <v>1.83366077275704</v>
      </c>
      <c r="BH60" s="767">
        <v>0.52390307793058288</v>
      </c>
      <c r="BI60" s="767">
        <v>1.83366077275704</v>
      </c>
      <c r="BJ60" s="767">
        <v>1.83366077275704</v>
      </c>
      <c r="BK60" s="767">
        <v>0.78585461689587421</v>
      </c>
      <c r="BL60" s="763">
        <v>6</v>
      </c>
      <c r="BM60" s="763">
        <v>3</v>
      </c>
      <c r="BN60" s="763">
        <v>0</v>
      </c>
      <c r="BO60" s="763">
        <v>0</v>
      </c>
      <c r="BP60" s="763">
        <v>0</v>
      </c>
      <c r="BQ60" s="763">
        <v>0</v>
      </c>
      <c r="BR60" s="764">
        <v>1.6536390000000001</v>
      </c>
      <c r="BS60" s="763">
        <v>6</v>
      </c>
      <c r="BT60" s="763">
        <v>3</v>
      </c>
      <c r="BU60" s="771">
        <v>0.5</v>
      </c>
      <c r="BV60" s="763">
        <v>1</v>
      </c>
      <c r="BW60" s="763">
        <v>0</v>
      </c>
      <c r="BX60" s="763">
        <v>6</v>
      </c>
      <c r="BY60" s="763">
        <v>0</v>
      </c>
      <c r="BZ60" s="763">
        <v>0</v>
      </c>
      <c r="CA60" s="763">
        <v>0</v>
      </c>
      <c r="CB60" s="763">
        <v>0</v>
      </c>
      <c r="CC60" s="763">
        <v>0</v>
      </c>
      <c r="CD60" s="763">
        <v>0</v>
      </c>
      <c r="CE60" s="771">
        <v>0</v>
      </c>
      <c r="CF60" s="772">
        <v>6</v>
      </c>
      <c r="CG60" s="763">
        <v>0.7</v>
      </c>
      <c r="CH60" s="763">
        <v>0.2</v>
      </c>
      <c r="CI60" s="763">
        <v>0.9</v>
      </c>
      <c r="CJ60" s="773">
        <v>5.2941176470588235E-2</v>
      </c>
      <c r="CK60" s="773">
        <v>0.23575638506876226</v>
      </c>
      <c r="CL60" s="763">
        <v>5.2</v>
      </c>
      <c r="CM60" s="763">
        <v>4.5</v>
      </c>
      <c r="CN60" s="763">
        <v>-0.9</v>
      </c>
      <c r="CO60" s="763">
        <v>1.2</v>
      </c>
      <c r="CP60" s="763">
        <v>0.1</v>
      </c>
      <c r="CQ60" s="763">
        <v>1</v>
      </c>
      <c r="CR60" s="763">
        <v>2.2999999999999998</v>
      </c>
      <c r="CS60" s="774">
        <v>0.13529411764705881</v>
      </c>
      <c r="CT60" s="774">
        <v>0.60248853962017024</v>
      </c>
      <c r="CU60" s="763"/>
      <c r="CV60" s="763"/>
      <c r="CW60" s="763"/>
      <c r="CX60" s="763"/>
      <c r="CY60" s="763"/>
      <c r="CZ60" s="763">
        <v>1750000</v>
      </c>
      <c r="DA60" s="763"/>
      <c r="DB60" s="775">
        <v>-0.77317073170731732</v>
      </c>
    </row>
    <row r="61" spans="1:106" x14ac:dyDescent="0.25">
      <c r="A61" s="776">
        <v>19</v>
      </c>
      <c r="B61" s="776" t="s">
        <v>470</v>
      </c>
      <c r="C61" s="776" t="s">
        <v>471</v>
      </c>
      <c r="D61" s="776"/>
      <c r="E61" s="776" t="s">
        <v>190</v>
      </c>
      <c r="F61" s="776">
        <v>71</v>
      </c>
      <c r="G61" s="776">
        <v>156</v>
      </c>
      <c r="H61" s="776" t="s">
        <v>107</v>
      </c>
      <c r="I61" s="776">
        <v>2010</v>
      </c>
      <c r="J61" s="776">
        <v>2</v>
      </c>
      <c r="K61" s="776">
        <v>51</v>
      </c>
      <c r="L61" s="776" t="s">
        <v>108</v>
      </c>
      <c r="M61" s="776">
        <v>22</v>
      </c>
      <c r="N61" s="776" t="s">
        <v>472</v>
      </c>
      <c r="O61" s="778" t="s">
        <v>473</v>
      </c>
      <c r="P61" s="778" t="s">
        <v>474</v>
      </c>
      <c r="Q61" s="776" t="s">
        <v>271</v>
      </c>
      <c r="R61" s="776"/>
      <c r="S61" s="776"/>
      <c r="T61" s="778" t="s">
        <v>113</v>
      </c>
      <c r="U61" s="776">
        <v>12</v>
      </c>
      <c r="V61" s="776">
        <v>2</v>
      </c>
      <c r="W61" s="776">
        <v>7</v>
      </c>
      <c r="X61" s="776">
        <v>9</v>
      </c>
      <c r="Y61" s="1298">
        <f t="shared" si="0"/>
        <v>0.75</v>
      </c>
      <c r="Z61" s="1298" t="s">
        <v>668</v>
      </c>
      <c r="AA61" s="1298">
        <f>45/63</f>
        <v>0.7142857142857143</v>
      </c>
      <c r="AB61" s="776">
        <v>7</v>
      </c>
      <c r="AC61" s="776">
        <v>13</v>
      </c>
      <c r="AD61" s="776">
        <v>3</v>
      </c>
      <c r="AE61" s="776">
        <v>6</v>
      </c>
      <c r="AF61" s="779">
        <v>0.15384615384615385</v>
      </c>
      <c r="AG61" s="779">
        <v>9.0909090909090912E-2</v>
      </c>
      <c r="AH61" s="780">
        <v>16.3</v>
      </c>
      <c r="AI61" s="781">
        <v>8</v>
      </c>
      <c r="AJ61" s="781">
        <v>2</v>
      </c>
      <c r="AK61" s="781">
        <v>0</v>
      </c>
      <c r="AL61" s="777">
        <v>168.8166666667</v>
      </c>
      <c r="AM61" s="780">
        <v>14.068055555558333</v>
      </c>
      <c r="AN61" s="776">
        <v>273</v>
      </c>
      <c r="AO61" s="780">
        <v>22.75</v>
      </c>
      <c r="AP61" s="782">
        <v>0.61837606837619052</v>
      </c>
      <c r="AQ61" s="781">
        <v>18.818182</v>
      </c>
      <c r="AR61" s="782">
        <v>6.6882668772817286</v>
      </c>
      <c r="AS61" s="779">
        <v>5.7142857142857141E-2</v>
      </c>
      <c r="AT61" s="779">
        <v>0.2</v>
      </c>
      <c r="AU61" s="779">
        <v>0.25714285714285717</v>
      </c>
      <c r="AV61" s="776">
        <v>58</v>
      </c>
      <c r="AW61" s="776">
        <v>89</v>
      </c>
      <c r="AX61" s="783">
        <v>0.39455782312925169</v>
      </c>
      <c r="AY61" s="776">
        <v>18.8</v>
      </c>
      <c r="AZ61" s="776">
        <v>14</v>
      </c>
      <c r="BA61" s="776">
        <v>2</v>
      </c>
      <c r="BB61" s="776">
        <v>4</v>
      </c>
      <c r="BC61" s="776">
        <v>3</v>
      </c>
      <c r="BD61" s="776">
        <v>2</v>
      </c>
      <c r="BE61" s="776">
        <v>2</v>
      </c>
      <c r="BF61" s="777">
        <v>4.9758120248780777</v>
      </c>
      <c r="BG61" s="780">
        <v>0.71083028926829672</v>
      </c>
      <c r="BH61" s="780">
        <v>1.4216605785365934</v>
      </c>
      <c r="BI61" s="780">
        <v>1.0662454339024452</v>
      </c>
      <c r="BJ61" s="780">
        <v>0.71083028926829672</v>
      </c>
      <c r="BK61" s="780">
        <v>0.71083028926829672</v>
      </c>
      <c r="BL61" s="776">
        <v>4</v>
      </c>
      <c r="BM61" s="776">
        <v>2</v>
      </c>
      <c r="BN61" s="776">
        <v>0</v>
      </c>
      <c r="BO61" s="776">
        <v>0</v>
      </c>
      <c r="BP61" s="776">
        <v>0</v>
      </c>
      <c r="BQ61" s="776">
        <v>0</v>
      </c>
      <c r="BR61" s="777">
        <v>-1.2398750000000001</v>
      </c>
      <c r="BS61" s="776">
        <v>3</v>
      </c>
      <c r="BT61" s="776">
        <v>1</v>
      </c>
      <c r="BU61" s="784">
        <v>0.33333333333333331</v>
      </c>
      <c r="BV61" s="776">
        <v>0</v>
      </c>
      <c r="BW61" s="776">
        <v>0</v>
      </c>
      <c r="BX61" s="776">
        <v>3</v>
      </c>
      <c r="BY61" s="776">
        <v>0</v>
      </c>
      <c r="BZ61" s="776">
        <v>0</v>
      </c>
      <c r="CA61" s="776">
        <v>0</v>
      </c>
      <c r="CB61" s="776">
        <v>0</v>
      </c>
      <c r="CC61" s="776">
        <v>0</v>
      </c>
      <c r="CD61" s="776">
        <v>0</v>
      </c>
      <c r="CE61" s="784">
        <v>0</v>
      </c>
      <c r="CF61" s="785">
        <v>5</v>
      </c>
      <c r="CG61" s="776">
        <v>0.8</v>
      </c>
      <c r="CH61" s="776">
        <v>0.5</v>
      </c>
      <c r="CI61" s="776">
        <v>1.2</v>
      </c>
      <c r="CJ61" s="786">
        <v>9.9999999999999992E-2</v>
      </c>
      <c r="CK61" s="786">
        <v>0.42649817356097808</v>
      </c>
      <c r="CL61" s="776">
        <v>4.0999999999999996</v>
      </c>
      <c r="CM61" s="776">
        <v>3.6</v>
      </c>
      <c r="CN61" s="776">
        <v>7.9</v>
      </c>
      <c r="CO61" s="776">
        <v>1.6</v>
      </c>
      <c r="CP61" s="776">
        <v>1.1000000000000001</v>
      </c>
      <c r="CQ61" s="776">
        <v>0</v>
      </c>
      <c r="CR61" s="776">
        <v>2.7</v>
      </c>
      <c r="CS61" s="787">
        <v>0.22500000000000001</v>
      </c>
      <c r="CT61" s="787">
        <v>0.95962089051220079</v>
      </c>
      <c r="CU61" s="776"/>
      <c r="CV61" s="776"/>
      <c r="CW61" s="776"/>
      <c r="CX61" s="776"/>
      <c r="CY61" s="776"/>
      <c r="CZ61" s="776">
        <v>900000</v>
      </c>
      <c r="DA61" s="776"/>
      <c r="DB61" s="788">
        <v>1.1195121951219513</v>
      </c>
    </row>
    <row r="62" spans="1:106" x14ac:dyDescent="0.25">
      <c r="A62" s="789">
        <v>42</v>
      </c>
      <c r="B62" s="789" t="s">
        <v>475</v>
      </c>
      <c r="C62" s="789" t="s">
        <v>476</v>
      </c>
      <c r="D62" s="789"/>
      <c r="E62" s="789" t="s">
        <v>190</v>
      </c>
      <c r="F62" s="789">
        <v>76</v>
      </c>
      <c r="G62" s="789">
        <v>204</v>
      </c>
      <c r="H62" s="789" t="s">
        <v>117</v>
      </c>
      <c r="I62" s="789">
        <v>2009</v>
      </c>
      <c r="J62" s="789">
        <v>4</v>
      </c>
      <c r="K62" s="789">
        <v>102</v>
      </c>
      <c r="L62" s="789" t="s">
        <v>108</v>
      </c>
      <c r="M62" s="789">
        <v>23</v>
      </c>
      <c r="N62" s="789" t="s">
        <v>477</v>
      </c>
      <c r="O62" s="791" t="s">
        <v>478</v>
      </c>
      <c r="P62" s="791" t="s">
        <v>479</v>
      </c>
      <c r="Q62" s="789" t="s">
        <v>271</v>
      </c>
      <c r="R62" s="789"/>
      <c r="S62" s="789"/>
      <c r="T62" s="791" t="s">
        <v>138</v>
      </c>
      <c r="U62" s="789">
        <v>62</v>
      </c>
      <c r="V62" s="789">
        <v>1</v>
      </c>
      <c r="W62" s="789">
        <v>8</v>
      </c>
      <c r="X62" s="789">
        <v>9</v>
      </c>
      <c r="Y62" s="1298">
        <f t="shared" si="0"/>
        <v>0.14516129032258066</v>
      </c>
      <c r="Z62" s="1298" t="s">
        <v>668</v>
      </c>
      <c r="AA62" s="1298">
        <f>32/59</f>
        <v>0.5423728813559322</v>
      </c>
      <c r="AB62" s="789">
        <v>-8</v>
      </c>
      <c r="AC62" s="789">
        <v>58</v>
      </c>
      <c r="AD62" s="789">
        <v>20</v>
      </c>
      <c r="AE62" s="789">
        <v>46</v>
      </c>
      <c r="AF62" s="792">
        <v>1.7241379310344827E-2</v>
      </c>
      <c r="AG62" s="792">
        <v>8.0645161290322578E-3</v>
      </c>
      <c r="AH62" s="793">
        <v>50.4</v>
      </c>
      <c r="AI62" s="794">
        <v>24</v>
      </c>
      <c r="AJ62" s="794">
        <v>3</v>
      </c>
      <c r="AK62" s="794">
        <v>30</v>
      </c>
      <c r="AL62" s="790">
        <v>1042.6333333333</v>
      </c>
      <c r="AM62" s="793">
        <v>16.81666666666613</v>
      </c>
      <c r="AN62" s="789">
        <v>1396</v>
      </c>
      <c r="AO62" s="793">
        <v>22.516129032258064</v>
      </c>
      <c r="AP62" s="795">
        <v>0.74687201528173353</v>
      </c>
      <c r="AQ62" s="794">
        <v>46.416666999999997</v>
      </c>
      <c r="AR62" s="795">
        <v>2.6711212187091231</v>
      </c>
      <c r="AS62" s="792">
        <v>1.0752688172043012E-2</v>
      </c>
      <c r="AT62" s="792">
        <v>8.6021505376344093E-2</v>
      </c>
      <c r="AU62" s="792">
        <v>9.6774193548387108E-2</v>
      </c>
      <c r="AV62" s="789">
        <v>0</v>
      </c>
      <c r="AW62" s="789">
        <v>0</v>
      </c>
      <c r="AX62" s="796">
        <v>0</v>
      </c>
      <c r="AY62" s="789">
        <v>0</v>
      </c>
      <c r="AZ62" s="789">
        <v>81</v>
      </c>
      <c r="BA62" s="789">
        <v>42</v>
      </c>
      <c r="BB62" s="789">
        <v>55</v>
      </c>
      <c r="BC62" s="789">
        <v>20</v>
      </c>
      <c r="BD62" s="789">
        <v>33</v>
      </c>
      <c r="BE62" s="789">
        <v>19</v>
      </c>
      <c r="BF62" s="790">
        <v>4.6612743374150281</v>
      </c>
      <c r="BG62" s="793">
        <v>2.4169570638448294</v>
      </c>
      <c r="BH62" s="793">
        <v>3.1650628217015622</v>
      </c>
      <c r="BI62" s="793">
        <v>1.1509319351642044</v>
      </c>
      <c r="BJ62" s="793">
        <v>1.8990376930209372</v>
      </c>
      <c r="BK62" s="793">
        <v>1.0933853384059942</v>
      </c>
      <c r="BL62" s="789">
        <v>10</v>
      </c>
      <c r="BM62" s="789">
        <v>5</v>
      </c>
      <c r="BN62" s="789">
        <v>0</v>
      </c>
      <c r="BO62" s="789">
        <v>0</v>
      </c>
      <c r="BP62" s="789">
        <v>0</v>
      </c>
      <c r="BQ62" s="789">
        <v>0</v>
      </c>
      <c r="BR62" s="790">
        <v>3.0099279999999999</v>
      </c>
      <c r="BS62" s="789">
        <v>1</v>
      </c>
      <c r="BT62" s="789">
        <v>0</v>
      </c>
      <c r="BU62" s="797">
        <v>0</v>
      </c>
      <c r="BV62" s="789">
        <v>0</v>
      </c>
      <c r="BW62" s="789">
        <v>0</v>
      </c>
      <c r="BX62" s="789">
        <v>15</v>
      </c>
      <c r="BY62" s="789">
        <v>0</v>
      </c>
      <c r="BZ62" s="789">
        <v>0</v>
      </c>
      <c r="CA62" s="789">
        <v>0</v>
      </c>
      <c r="CB62" s="789">
        <v>0</v>
      </c>
      <c r="CC62" s="789">
        <v>0</v>
      </c>
      <c r="CD62" s="789">
        <v>0</v>
      </c>
      <c r="CE62" s="797">
        <v>0</v>
      </c>
      <c r="CF62" s="798">
        <v>2</v>
      </c>
      <c r="CG62" s="789">
        <v>-0.2</v>
      </c>
      <c r="CH62" s="789">
        <v>1.6</v>
      </c>
      <c r="CI62" s="789">
        <v>1.4</v>
      </c>
      <c r="CJ62" s="799">
        <v>2.2580645161290321E-2</v>
      </c>
      <c r="CK62" s="799">
        <v>8.0565235461494314E-2</v>
      </c>
      <c r="CL62" s="789">
        <v>19.2</v>
      </c>
      <c r="CM62" s="789">
        <v>23.7</v>
      </c>
      <c r="CN62" s="789">
        <v>-3.4</v>
      </c>
      <c r="CO62" s="789">
        <v>-1.2</v>
      </c>
      <c r="CP62" s="789">
        <v>2.1</v>
      </c>
      <c r="CQ62" s="789">
        <v>-0.30000000000000004</v>
      </c>
      <c r="CR62" s="789">
        <v>0.60000000000000009</v>
      </c>
      <c r="CS62" s="800">
        <v>9.6774193548387118E-3</v>
      </c>
      <c r="CT62" s="800">
        <v>3.4527958054926138E-2</v>
      </c>
      <c r="CU62" s="789"/>
      <c r="CV62" s="789"/>
      <c r="CW62" s="789"/>
      <c r="CX62" s="789"/>
      <c r="CY62" s="789"/>
      <c r="CZ62" s="789">
        <v>1025000</v>
      </c>
      <c r="DA62" s="789"/>
      <c r="DB62" s="801">
        <v>-1.1999999999999997</v>
      </c>
    </row>
    <row r="63" spans="1:106" x14ac:dyDescent="0.25">
      <c r="A63" s="802">
        <v>67</v>
      </c>
      <c r="B63" s="802" t="s">
        <v>356</v>
      </c>
      <c r="C63" s="802" t="s">
        <v>480</v>
      </c>
      <c r="D63" s="802" t="s">
        <v>481</v>
      </c>
      <c r="E63" s="802" t="s">
        <v>127</v>
      </c>
      <c r="F63" s="802">
        <v>70</v>
      </c>
      <c r="G63" s="802">
        <v>182</v>
      </c>
      <c r="H63" s="802" t="s">
        <v>107</v>
      </c>
      <c r="I63" s="802">
        <v>2011</v>
      </c>
      <c r="J63" s="802">
        <v>3</v>
      </c>
      <c r="K63" s="802">
        <v>64</v>
      </c>
      <c r="L63" s="802" t="s">
        <v>108</v>
      </c>
      <c r="M63" s="802">
        <v>20</v>
      </c>
      <c r="N63" s="802" t="s">
        <v>482</v>
      </c>
      <c r="O63" s="804" t="s">
        <v>483</v>
      </c>
      <c r="P63" s="804" t="s">
        <v>484</v>
      </c>
      <c r="Q63" s="802" t="s">
        <v>146</v>
      </c>
      <c r="R63" s="802"/>
      <c r="S63" s="802"/>
      <c r="T63" s="804" t="s">
        <v>113</v>
      </c>
      <c r="U63" s="802">
        <v>20</v>
      </c>
      <c r="V63" s="802">
        <v>5</v>
      </c>
      <c r="W63" s="802">
        <v>3</v>
      </c>
      <c r="X63" s="802">
        <v>8</v>
      </c>
      <c r="Y63" s="1298">
        <f t="shared" si="0"/>
        <v>0.4</v>
      </c>
      <c r="Z63" s="1298" t="s">
        <v>668</v>
      </c>
      <c r="AA63" s="1298">
        <f>42/55</f>
        <v>0.76363636363636367</v>
      </c>
      <c r="AB63" s="802">
        <v>-11</v>
      </c>
      <c r="AC63" s="802">
        <v>38</v>
      </c>
      <c r="AD63" s="802">
        <v>23</v>
      </c>
      <c r="AE63" s="802">
        <v>15</v>
      </c>
      <c r="AF63" s="805">
        <v>0.13157894736842105</v>
      </c>
      <c r="AG63" s="805">
        <v>6.5789473684210523E-2</v>
      </c>
      <c r="AH63" s="806">
        <v>32.1</v>
      </c>
      <c r="AI63" s="807">
        <v>20</v>
      </c>
      <c r="AJ63" s="807">
        <v>4</v>
      </c>
      <c r="AK63" s="807">
        <v>5</v>
      </c>
      <c r="AL63" s="803">
        <v>377.73333333329998</v>
      </c>
      <c r="AM63" s="806">
        <v>18.886666666665</v>
      </c>
      <c r="AN63" s="802">
        <v>502</v>
      </c>
      <c r="AO63" s="806">
        <v>25.1</v>
      </c>
      <c r="AP63" s="808">
        <v>0.75245683930936247</v>
      </c>
      <c r="AQ63" s="807">
        <v>21.833333</v>
      </c>
      <c r="AR63" s="808">
        <v>3.4680550123547005</v>
      </c>
      <c r="AS63" s="805">
        <v>0.20833333333333334</v>
      </c>
      <c r="AT63" s="805">
        <v>0.125</v>
      </c>
      <c r="AU63" s="805">
        <v>0.33333333333333337</v>
      </c>
      <c r="AV63" s="802">
        <v>166</v>
      </c>
      <c r="AW63" s="802">
        <v>182</v>
      </c>
      <c r="AX63" s="809">
        <v>0.47701149425287354</v>
      </c>
      <c r="AY63" s="802">
        <v>28.8</v>
      </c>
      <c r="AZ63" s="802">
        <v>36</v>
      </c>
      <c r="BA63" s="802">
        <v>39</v>
      </c>
      <c r="BB63" s="802">
        <v>11</v>
      </c>
      <c r="BC63" s="802">
        <v>23</v>
      </c>
      <c r="BD63" s="802">
        <v>8</v>
      </c>
      <c r="BE63" s="802">
        <v>13</v>
      </c>
      <c r="BF63" s="803">
        <v>5.7183198023301909</v>
      </c>
      <c r="BG63" s="806">
        <v>6.1948464525243727</v>
      </c>
      <c r="BH63" s="806">
        <v>1.7472643840453359</v>
      </c>
      <c r="BI63" s="806">
        <v>3.6533709848220663</v>
      </c>
      <c r="BJ63" s="806">
        <v>1.2707377338511534</v>
      </c>
      <c r="BK63" s="806">
        <v>2.0649488175081245</v>
      </c>
      <c r="BL63" s="802">
        <v>6</v>
      </c>
      <c r="BM63" s="802">
        <v>3</v>
      </c>
      <c r="BN63" s="802">
        <v>0</v>
      </c>
      <c r="BO63" s="802">
        <v>0</v>
      </c>
      <c r="BP63" s="802">
        <v>0</v>
      </c>
      <c r="BQ63" s="802">
        <v>0</v>
      </c>
      <c r="BR63" s="803">
        <v>1.505258</v>
      </c>
      <c r="BS63" s="802">
        <v>1</v>
      </c>
      <c r="BT63" s="802">
        <v>1</v>
      </c>
      <c r="BU63" s="810">
        <v>1</v>
      </c>
      <c r="BV63" s="802">
        <v>0</v>
      </c>
      <c r="BW63" s="802">
        <v>0</v>
      </c>
      <c r="BX63" s="802">
        <v>2</v>
      </c>
      <c r="BY63" s="802">
        <v>0</v>
      </c>
      <c r="BZ63" s="802">
        <v>0</v>
      </c>
      <c r="CA63" s="802">
        <v>0</v>
      </c>
      <c r="CB63" s="802">
        <v>1</v>
      </c>
      <c r="CC63" s="802">
        <v>0</v>
      </c>
      <c r="CD63" s="802">
        <v>0</v>
      </c>
      <c r="CE63" s="810">
        <v>0</v>
      </c>
      <c r="CF63" s="811">
        <v>7</v>
      </c>
      <c r="CG63" s="802">
        <v>0.4</v>
      </c>
      <c r="CH63" s="802">
        <v>-0.1</v>
      </c>
      <c r="CI63" s="802">
        <v>0.4</v>
      </c>
      <c r="CJ63" s="812">
        <v>0.02</v>
      </c>
      <c r="CK63" s="812">
        <v>6.3536886692557679E-2</v>
      </c>
      <c r="CL63" s="802">
        <v>8.5</v>
      </c>
      <c r="CM63" s="802">
        <v>8.5</v>
      </c>
      <c r="CN63" s="802">
        <v>-8.5</v>
      </c>
      <c r="CO63" s="802">
        <v>-0.1</v>
      </c>
      <c r="CP63" s="802">
        <v>-0.2</v>
      </c>
      <c r="CQ63" s="802">
        <v>0.60000000000000009</v>
      </c>
      <c r="CR63" s="802">
        <v>0.30000000000000004</v>
      </c>
      <c r="CS63" s="813">
        <v>1.5000000000000003E-2</v>
      </c>
      <c r="CT63" s="813">
        <v>4.7652665019418262E-2</v>
      </c>
      <c r="CU63" s="802"/>
      <c r="CV63" s="802"/>
      <c r="CW63" s="802"/>
      <c r="CX63" s="802"/>
      <c r="CY63" s="802"/>
      <c r="CZ63" s="802">
        <v>894167</v>
      </c>
      <c r="DA63" s="802"/>
      <c r="DB63" s="814">
        <v>-1.270244487804878</v>
      </c>
    </row>
    <row r="64" spans="1:106" x14ac:dyDescent="0.25">
      <c r="A64" s="815">
        <v>61</v>
      </c>
      <c r="B64" s="815" t="s">
        <v>485</v>
      </c>
      <c r="C64" s="815" t="s">
        <v>486</v>
      </c>
      <c r="D64" s="815" t="s">
        <v>487</v>
      </c>
      <c r="E64" s="815" t="s">
        <v>106</v>
      </c>
      <c r="F64" s="815">
        <v>74</v>
      </c>
      <c r="G64" s="815">
        <v>205</v>
      </c>
      <c r="H64" s="815" t="s">
        <v>107</v>
      </c>
      <c r="I64" s="815">
        <v>2010</v>
      </c>
      <c r="J64" s="815">
        <v>6</v>
      </c>
      <c r="K64" s="815">
        <v>178</v>
      </c>
      <c r="L64" s="815" t="s">
        <v>108</v>
      </c>
      <c r="M64" s="815">
        <v>21</v>
      </c>
      <c r="N64" s="815" t="s">
        <v>488</v>
      </c>
      <c r="O64" s="817" t="s">
        <v>184</v>
      </c>
      <c r="P64" s="817" t="s">
        <v>489</v>
      </c>
      <c r="Q64" s="815" t="s">
        <v>465</v>
      </c>
      <c r="R64" s="815"/>
      <c r="S64" s="815"/>
      <c r="T64" s="817" t="s">
        <v>164</v>
      </c>
      <c r="U64" s="815">
        <v>19</v>
      </c>
      <c r="V64" s="815">
        <v>4</v>
      </c>
      <c r="W64" s="815">
        <v>4</v>
      </c>
      <c r="X64" s="815">
        <v>8</v>
      </c>
      <c r="Y64" s="1298">
        <f t="shared" si="0"/>
        <v>0.42105263157894735</v>
      </c>
      <c r="Z64" s="1298" t="s">
        <v>668</v>
      </c>
      <c r="AA64" s="1298">
        <f>41/37</f>
        <v>1.1081081081081081</v>
      </c>
      <c r="AB64" s="815">
        <v>5</v>
      </c>
      <c r="AC64" s="815">
        <v>36</v>
      </c>
      <c r="AD64" s="815">
        <v>25</v>
      </c>
      <c r="AE64" s="815">
        <v>11</v>
      </c>
      <c r="AF64" s="818">
        <v>0.1111111111111111</v>
      </c>
      <c r="AG64" s="818">
        <v>5.5555555555555552E-2</v>
      </c>
      <c r="AH64" s="819">
        <v>27.4</v>
      </c>
      <c r="AI64" s="820">
        <v>20</v>
      </c>
      <c r="AJ64" s="820">
        <v>7</v>
      </c>
      <c r="AK64" s="820">
        <v>2</v>
      </c>
      <c r="AL64" s="816">
        <v>275.03333333329999</v>
      </c>
      <c r="AM64" s="819">
        <v>14.475438596489473</v>
      </c>
      <c r="AN64" s="815">
        <v>390</v>
      </c>
      <c r="AO64" s="819">
        <v>20.526315789473685</v>
      </c>
      <c r="AP64" s="821">
        <v>0.70521367521358969</v>
      </c>
      <c r="AQ64" s="820">
        <v>39</v>
      </c>
      <c r="AR64" s="821">
        <v>8.5080596291368931</v>
      </c>
      <c r="AS64" s="818">
        <v>9.3023255813953487E-2</v>
      </c>
      <c r="AT64" s="818">
        <v>9.3023255813953487E-2</v>
      </c>
      <c r="AU64" s="818">
        <v>0.18604651162790697</v>
      </c>
      <c r="AV64" s="815">
        <v>1</v>
      </c>
      <c r="AW64" s="815">
        <v>0</v>
      </c>
      <c r="AX64" s="822">
        <v>1</v>
      </c>
      <c r="AY64" s="815">
        <v>0</v>
      </c>
      <c r="AZ64" s="815">
        <v>22</v>
      </c>
      <c r="BA64" s="815">
        <v>10</v>
      </c>
      <c r="BB64" s="815">
        <v>7</v>
      </c>
      <c r="BC64" s="815">
        <v>25</v>
      </c>
      <c r="BD64" s="815">
        <v>6</v>
      </c>
      <c r="BE64" s="815">
        <v>18</v>
      </c>
      <c r="BF64" s="816">
        <v>4.7994182523336324</v>
      </c>
      <c r="BG64" s="819">
        <v>2.1815537510607417</v>
      </c>
      <c r="BH64" s="819">
        <v>1.5270876257425192</v>
      </c>
      <c r="BI64" s="819">
        <v>5.4538843776518551</v>
      </c>
      <c r="BJ64" s="819">
        <v>1.3089322506364451</v>
      </c>
      <c r="BK64" s="819">
        <v>3.9267967519093352</v>
      </c>
      <c r="BL64" s="815">
        <v>4</v>
      </c>
      <c r="BM64" s="815">
        <v>2</v>
      </c>
      <c r="BN64" s="815">
        <v>0</v>
      </c>
      <c r="BO64" s="815">
        <v>0</v>
      </c>
      <c r="BP64" s="815">
        <v>0</v>
      </c>
      <c r="BQ64" s="815">
        <v>0</v>
      </c>
      <c r="BR64" s="816">
        <v>-1.390806</v>
      </c>
      <c r="BS64" s="815"/>
      <c r="BT64" s="815"/>
      <c r="BU64" s="823" t="s">
        <v>139</v>
      </c>
      <c r="BV64" s="815"/>
      <c r="BW64" s="815">
        <v>2</v>
      </c>
      <c r="BX64" s="815">
        <v>9</v>
      </c>
      <c r="BY64" s="815">
        <v>0</v>
      </c>
      <c r="BZ64" s="815">
        <v>0</v>
      </c>
      <c r="CA64" s="815">
        <v>0</v>
      </c>
      <c r="CB64" s="815">
        <v>0</v>
      </c>
      <c r="CC64" s="815">
        <v>0</v>
      </c>
      <c r="CD64" s="815">
        <v>0</v>
      </c>
      <c r="CE64" s="823">
        <v>0</v>
      </c>
      <c r="CF64" s="824">
        <v>5</v>
      </c>
      <c r="CG64" s="815">
        <v>0.60000000000000009</v>
      </c>
      <c r="CH64" s="815">
        <v>0.4</v>
      </c>
      <c r="CI64" s="815">
        <v>1</v>
      </c>
      <c r="CJ64" s="825">
        <v>5.2631578947368418E-2</v>
      </c>
      <c r="CK64" s="825">
        <v>0.21815537510607419</v>
      </c>
      <c r="CL64" s="815">
        <v>5.4</v>
      </c>
      <c r="CM64" s="815">
        <v>4.3</v>
      </c>
      <c r="CN64" s="815">
        <v>6.4</v>
      </c>
      <c r="CO64" s="815">
        <v>1.1000000000000001</v>
      </c>
      <c r="CP64" s="815">
        <v>0.60000000000000009</v>
      </c>
      <c r="CQ64" s="815">
        <v>0</v>
      </c>
      <c r="CR64" s="815">
        <v>1.7000000000000002</v>
      </c>
      <c r="CS64" s="826">
        <v>8.947368421052633E-2</v>
      </c>
      <c r="CT64" s="826">
        <v>0.37086413768032617</v>
      </c>
      <c r="CU64" s="815"/>
      <c r="CV64" s="815"/>
      <c r="CW64" s="815"/>
      <c r="CX64" s="815">
        <v>8</v>
      </c>
      <c r="CY64" s="815" t="s">
        <v>123</v>
      </c>
      <c r="CZ64" s="815">
        <v>873333</v>
      </c>
      <c r="DA64" s="815"/>
      <c r="DB64" s="827">
        <v>0.16634204878048808</v>
      </c>
    </row>
    <row r="65" spans="1:106" ht="26.25" x14ac:dyDescent="0.25">
      <c r="A65" s="828">
        <v>73</v>
      </c>
      <c r="B65" s="828" t="s">
        <v>490</v>
      </c>
      <c r="C65" s="828" t="s">
        <v>491</v>
      </c>
      <c r="D65" s="828" t="s">
        <v>168</v>
      </c>
      <c r="E65" s="828" t="s">
        <v>106</v>
      </c>
      <c r="F65" s="828">
        <v>76</v>
      </c>
      <c r="G65" s="828">
        <v>225</v>
      </c>
      <c r="H65" s="828" t="s">
        <v>107</v>
      </c>
      <c r="I65" s="828">
        <v>2007</v>
      </c>
      <c r="J65" s="828">
        <v>6</v>
      </c>
      <c r="K65" s="828">
        <v>162</v>
      </c>
      <c r="L65" s="828" t="s">
        <v>108</v>
      </c>
      <c r="M65" s="828">
        <v>25</v>
      </c>
      <c r="N65" s="828" t="s">
        <v>492</v>
      </c>
      <c r="O65" s="830" t="s">
        <v>493</v>
      </c>
      <c r="P65" s="830" t="s">
        <v>494</v>
      </c>
      <c r="Q65" s="828" t="s">
        <v>329</v>
      </c>
      <c r="R65" s="828"/>
      <c r="S65" s="828"/>
      <c r="T65" s="830" t="s">
        <v>138</v>
      </c>
      <c r="U65" s="828">
        <v>64</v>
      </c>
      <c r="V65" s="828">
        <v>2</v>
      </c>
      <c r="W65" s="828">
        <v>6</v>
      </c>
      <c r="X65" s="828">
        <v>8</v>
      </c>
      <c r="Y65" s="1298">
        <f t="shared" si="0"/>
        <v>0.125</v>
      </c>
      <c r="Z65" s="1298" t="s">
        <v>668</v>
      </c>
      <c r="AA65" s="1298">
        <f>13/68</f>
        <v>0.19117647058823528</v>
      </c>
      <c r="AB65" s="828">
        <v>-1</v>
      </c>
      <c r="AC65" s="828">
        <v>54</v>
      </c>
      <c r="AD65" s="828">
        <v>16</v>
      </c>
      <c r="AE65" s="828">
        <v>36</v>
      </c>
      <c r="AF65" s="831">
        <v>3.7037037037037035E-2</v>
      </c>
      <c r="AG65" s="831">
        <v>1.8867924528301886E-2</v>
      </c>
      <c r="AH65" s="832">
        <v>54.2</v>
      </c>
      <c r="AI65" s="833">
        <v>23</v>
      </c>
      <c r="AJ65" s="833">
        <v>12</v>
      </c>
      <c r="AK65" s="833">
        <v>16</v>
      </c>
      <c r="AL65" s="829">
        <v>1118.2166666666999</v>
      </c>
      <c r="AM65" s="832">
        <v>17.472135416667186</v>
      </c>
      <c r="AN65" s="828">
        <v>1532</v>
      </c>
      <c r="AO65" s="832">
        <v>23.9375</v>
      </c>
      <c r="AP65" s="834">
        <v>0.72990644038296337</v>
      </c>
      <c r="AQ65" s="833">
        <v>37.840000000000003</v>
      </c>
      <c r="AR65" s="834">
        <v>2.0303757470972523</v>
      </c>
      <c r="AS65" s="831">
        <v>2.564102564102564E-2</v>
      </c>
      <c r="AT65" s="831">
        <v>7.6923076923076927E-2</v>
      </c>
      <c r="AU65" s="831">
        <v>0.10256410256410256</v>
      </c>
      <c r="AV65" s="828">
        <v>0</v>
      </c>
      <c r="AW65" s="828">
        <v>0</v>
      </c>
      <c r="AX65" s="835">
        <v>0</v>
      </c>
      <c r="AY65" s="828">
        <v>0</v>
      </c>
      <c r="AZ65" s="828">
        <v>137</v>
      </c>
      <c r="BA65" s="828">
        <v>169</v>
      </c>
      <c r="BB65" s="828">
        <v>98</v>
      </c>
      <c r="BC65" s="828">
        <v>16</v>
      </c>
      <c r="BD65" s="828">
        <v>39</v>
      </c>
      <c r="BE65" s="828">
        <v>21</v>
      </c>
      <c r="BF65" s="829">
        <v>7.3509904162876207</v>
      </c>
      <c r="BG65" s="832">
        <v>9.0680100755664821</v>
      </c>
      <c r="BH65" s="832">
        <v>5.2583727065415093</v>
      </c>
      <c r="BI65" s="832">
        <v>0.85850982963943023</v>
      </c>
      <c r="BJ65" s="832">
        <v>2.0926177097461109</v>
      </c>
      <c r="BK65" s="832">
        <v>1.1267941514017521</v>
      </c>
      <c r="BL65" s="828">
        <v>45</v>
      </c>
      <c r="BM65" s="828">
        <v>15</v>
      </c>
      <c r="BN65" s="828">
        <v>3</v>
      </c>
      <c r="BO65" s="828">
        <v>0</v>
      </c>
      <c r="BP65" s="828">
        <v>0</v>
      </c>
      <c r="BQ65" s="828">
        <v>0</v>
      </c>
      <c r="BR65" s="829">
        <v>2.4566469999999998</v>
      </c>
      <c r="BS65" s="828"/>
      <c r="BT65" s="828"/>
      <c r="BU65" s="836" t="s">
        <v>139</v>
      </c>
      <c r="BV65" s="828"/>
      <c r="BW65" s="828">
        <v>0</v>
      </c>
      <c r="BX65" s="828">
        <v>14</v>
      </c>
      <c r="BY65" s="828">
        <v>0</v>
      </c>
      <c r="BZ65" s="828">
        <v>0</v>
      </c>
      <c r="CA65" s="828">
        <v>0</v>
      </c>
      <c r="CB65" s="828">
        <v>0</v>
      </c>
      <c r="CC65" s="828">
        <v>0</v>
      </c>
      <c r="CD65" s="828">
        <v>0</v>
      </c>
      <c r="CE65" s="836">
        <v>0</v>
      </c>
      <c r="CF65" s="837">
        <v>5</v>
      </c>
      <c r="CG65" s="828">
        <v>-0.2</v>
      </c>
      <c r="CH65" s="828">
        <v>2.5</v>
      </c>
      <c r="CI65" s="828">
        <v>2.2000000000000002</v>
      </c>
      <c r="CJ65" s="838">
        <v>3.4375000000000003E-2</v>
      </c>
      <c r="CK65" s="838">
        <v>0.11804510157542165</v>
      </c>
      <c r="CL65" s="828">
        <v>14.8</v>
      </c>
      <c r="CM65" s="828">
        <v>20.6</v>
      </c>
      <c r="CN65" s="828">
        <v>-0.4</v>
      </c>
      <c r="CO65" s="828">
        <v>-0.2</v>
      </c>
      <c r="CP65" s="828">
        <v>2.4</v>
      </c>
      <c r="CQ65" s="828">
        <v>0</v>
      </c>
      <c r="CR65" s="828">
        <v>2.2000000000000002</v>
      </c>
      <c r="CS65" s="839">
        <v>3.4375000000000003E-2</v>
      </c>
      <c r="CT65" s="839">
        <v>0.11804510157542165</v>
      </c>
      <c r="CU65" s="828"/>
      <c r="CV65" s="828"/>
      <c r="CW65" s="828"/>
      <c r="CX65" s="828">
        <v>9</v>
      </c>
      <c r="CY65" s="828" t="s">
        <v>345</v>
      </c>
      <c r="CZ65" s="828">
        <v>600000</v>
      </c>
      <c r="DA65" s="828"/>
      <c r="DB65" s="840">
        <v>1.1463414634146343</v>
      </c>
    </row>
    <row r="66" spans="1:106" x14ac:dyDescent="0.25">
      <c r="A66" s="841">
        <v>62</v>
      </c>
      <c r="B66" s="841" t="s">
        <v>495</v>
      </c>
      <c r="C66" s="841" t="s">
        <v>496</v>
      </c>
      <c r="D66" s="841"/>
      <c r="E66" s="841" t="s">
        <v>116</v>
      </c>
      <c r="F66" s="841">
        <v>80</v>
      </c>
      <c r="G66" s="841">
        <v>225</v>
      </c>
      <c r="H66" s="841" t="s">
        <v>107</v>
      </c>
      <c r="I66" s="841"/>
      <c r="J66" s="841"/>
      <c r="K66" s="841"/>
      <c r="L66" s="841" t="s">
        <v>108</v>
      </c>
      <c r="M66" s="841">
        <v>23</v>
      </c>
      <c r="N66" s="841" t="s">
        <v>497</v>
      </c>
      <c r="O66" s="843" t="s">
        <v>498</v>
      </c>
      <c r="P66" s="843" t="s">
        <v>499</v>
      </c>
      <c r="Q66" s="841" t="s">
        <v>121</v>
      </c>
      <c r="R66" s="841"/>
      <c r="S66" s="841"/>
      <c r="T66" s="843" t="s">
        <v>138</v>
      </c>
      <c r="U66" s="841">
        <v>43</v>
      </c>
      <c r="V66" s="841">
        <v>1</v>
      </c>
      <c r="W66" s="841">
        <v>7</v>
      </c>
      <c r="X66" s="841">
        <v>8</v>
      </c>
      <c r="Y66" s="1298">
        <f t="shared" si="0"/>
        <v>0.18604651162790697</v>
      </c>
      <c r="Z66" s="1298" t="s">
        <v>669</v>
      </c>
      <c r="AA66" s="1298">
        <f>25/39</f>
        <v>0.64102564102564108</v>
      </c>
      <c r="AB66" s="841">
        <v>3</v>
      </c>
      <c r="AC66" s="841">
        <v>39</v>
      </c>
      <c r="AD66" s="841">
        <v>12</v>
      </c>
      <c r="AE66" s="841">
        <v>23</v>
      </c>
      <c r="AF66" s="844">
        <v>2.564102564102564E-2</v>
      </c>
      <c r="AG66" s="844">
        <v>1.3513513513513514E-2</v>
      </c>
      <c r="AH66" s="845">
        <v>49.8</v>
      </c>
      <c r="AI66" s="846">
        <v>23</v>
      </c>
      <c r="AJ66" s="846">
        <v>5</v>
      </c>
      <c r="AK66" s="846">
        <v>9</v>
      </c>
      <c r="AL66" s="842">
        <v>679.11666666669998</v>
      </c>
      <c r="AM66" s="845">
        <v>15.793410852713953</v>
      </c>
      <c r="AN66" s="841">
        <v>863</v>
      </c>
      <c r="AO66" s="845">
        <v>20.069767441860463</v>
      </c>
      <c r="AP66" s="847">
        <v>0.78692545384322132</v>
      </c>
      <c r="AQ66" s="846">
        <v>0</v>
      </c>
      <c r="AR66" s="847">
        <v>0</v>
      </c>
      <c r="AS66" s="844">
        <v>1.5625E-2</v>
      </c>
      <c r="AT66" s="844">
        <v>0.109375</v>
      </c>
      <c r="AU66" s="844">
        <v>0.125</v>
      </c>
      <c r="AV66" s="841">
        <v>0</v>
      </c>
      <c r="AW66" s="841">
        <v>0</v>
      </c>
      <c r="AX66" s="848">
        <v>0</v>
      </c>
      <c r="AY66" s="841">
        <v>0</v>
      </c>
      <c r="AZ66" s="841">
        <v>61</v>
      </c>
      <c r="BA66" s="841">
        <v>26</v>
      </c>
      <c r="BB66" s="841">
        <v>36</v>
      </c>
      <c r="BC66" s="841">
        <v>12</v>
      </c>
      <c r="BD66" s="841">
        <v>22</v>
      </c>
      <c r="BE66" s="841">
        <v>4</v>
      </c>
      <c r="BF66" s="842">
        <v>5.3893538174586899</v>
      </c>
      <c r="BG66" s="845">
        <v>2.2971016271135398</v>
      </c>
      <c r="BH66" s="845">
        <v>3.1806022529264397</v>
      </c>
      <c r="BI66" s="845">
        <v>1.0602007509754801</v>
      </c>
      <c r="BJ66" s="845">
        <v>1.94370137678838</v>
      </c>
      <c r="BK66" s="845">
        <v>0.35340025032515998</v>
      </c>
      <c r="BL66" s="841">
        <v>16</v>
      </c>
      <c r="BM66" s="841">
        <v>8</v>
      </c>
      <c r="BN66" s="841">
        <v>0</v>
      </c>
      <c r="BO66" s="841">
        <v>0</v>
      </c>
      <c r="BP66" s="841">
        <v>0</v>
      </c>
      <c r="BQ66" s="841">
        <v>0</v>
      </c>
      <c r="BR66" s="842">
        <v>-2.7104140000000001</v>
      </c>
      <c r="BS66" s="841"/>
      <c r="BT66" s="841"/>
      <c r="BU66" s="849" t="s">
        <v>139</v>
      </c>
      <c r="BV66" s="841"/>
      <c r="BW66" s="841">
        <v>0</v>
      </c>
      <c r="BX66" s="841">
        <v>13</v>
      </c>
      <c r="BY66" s="841">
        <v>0</v>
      </c>
      <c r="BZ66" s="841">
        <v>0</v>
      </c>
      <c r="CA66" s="841">
        <v>0</v>
      </c>
      <c r="CB66" s="841">
        <v>0</v>
      </c>
      <c r="CC66" s="841">
        <v>0</v>
      </c>
      <c r="CD66" s="841">
        <v>0</v>
      </c>
      <c r="CE66" s="849">
        <v>0</v>
      </c>
      <c r="CF66" s="850">
        <v>1</v>
      </c>
      <c r="CG66" s="841">
        <v>0.2</v>
      </c>
      <c r="CH66" s="841">
        <v>1.5</v>
      </c>
      <c r="CI66" s="841">
        <v>1.7000000000000002</v>
      </c>
      <c r="CJ66" s="851">
        <v>3.9534883720930239E-2</v>
      </c>
      <c r="CK66" s="851">
        <v>0.150195106388193</v>
      </c>
      <c r="CL66" s="841">
        <v>10.1</v>
      </c>
      <c r="CM66" s="841">
        <v>12.5</v>
      </c>
      <c r="CN66" s="841">
        <v>-0.2</v>
      </c>
      <c r="CO66" s="841">
        <v>0.60000000000000009</v>
      </c>
      <c r="CP66" s="841">
        <v>1.6</v>
      </c>
      <c r="CQ66" s="841">
        <v>0</v>
      </c>
      <c r="CR66" s="841">
        <v>2.2000000000000002</v>
      </c>
      <c r="CS66" s="852">
        <v>5.1162790697674425E-2</v>
      </c>
      <c r="CT66" s="852">
        <v>0.19437013767883801</v>
      </c>
      <c r="CU66" s="841"/>
      <c r="CV66" s="841"/>
      <c r="CW66" s="841"/>
      <c r="CX66" s="841"/>
      <c r="CY66" s="841"/>
      <c r="CZ66" s="841">
        <v>1350000</v>
      </c>
      <c r="DA66" s="841"/>
      <c r="DB66" s="853">
        <v>-0.17073170731707288</v>
      </c>
    </row>
    <row r="67" spans="1:106" x14ac:dyDescent="0.25">
      <c r="A67" s="854">
        <v>5</v>
      </c>
      <c r="B67" s="854" t="s">
        <v>500</v>
      </c>
      <c r="C67" s="854" t="s">
        <v>501</v>
      </c>
      <c r="D67" s="854" t="s">
        <v>150</v>
      </c>
      <c r="E67" s="854" t="s">
        <v>127</v>
      </c>
      <c r="F67" s="854">
        <v>75</v>
      </c>
      <c r="G67" s="854">
        <v>190</v>
      </c>
      <c r="H67" s="854" t="s">
        <v>107</v>
      </c>
      <c r="I67" s="854">
        <v>2011</v>
      </c>
      <c r="J67" s="854">
        <v>1</v>
      </c>
      <c r="K67" s="854">
        <v>20</v>
      </c>
      <c r="L67" s="854" t="s">
        <v>108</v>
      </c>
      <c r="M67" s="854">
        <v>20</v>
      </c>
      <c r="N67" s="854" t="s">
        <v>502</v>
      </c>
      <c r="O67" s="856" t="s">
        <v>503</v>
      </c>
      <c r="P67" s="856" t="s">
        <v>339</v>
      </c>
      <c r="Q67" s="854" t="s">
        <v>504</v>
      </c>
      <c r="R67" s="854"/>
      <c r="S67" s="854"/>
      <c r="T67" s="856" t="s">
        <v>138</v>
      </c>
      <c r="U67" s="854">
        <v>30</v>
      </c>
      <c r="V67" s="854">
        <v>1</v>
      </c>
      <c r="W67" s="854">
        <v>7</v>
      </c>
      <c r="X67" s="854">
        <v>8</v>
      </c>
      <c r="Y67" s="1298">
        <f t="shared" ref="Y67:Y101" si="1">X67/U67</f>
        <v>0.26666666666666666</v>
      </c>
      <c r="Z67" s="1298" t="s">
        <v>668</v>
      </c>
      <c r="AA67" s="1298">
        <f>13/36</f>
        <v>0.3611111111111111</v>
      </c>
      <c r="AB67" s="854">
        <v>5</v>
      </c>
      <c r="AC67" s="854">
        <v>30</v>
      </c>
      <c r="AD67" s="854">
        <v>10</v>
      </c>
      <c r="AE67" s="854">
        <v>29</v>
      </c>
      <c r="AF67" s="857">
        <v>3.3333333333333333E-2</v>
      </c>
      <c r="AG67" s="857">
        <v>1.4492753623188406E-2</v>
      </c>
      <c r="AH67" s="858">
        <v>45.5</v>
      </c>
      <c r="AI67" s="859">
        <v>12</v>
      </c>
      <c r="AJ67" s="859">
        <v>0</v>
      </c>
      <c r="AK67" s="859">
        <v>14</v>
      </c>
      <c r="AL67" s="855">
        <v>539.41666666670005</v>
      </c>
      <c r="AM67" s="858">
        <v>17.98055555555667</v>
      </c>
      <c r="AN67" s="854">
        <v>681</v>
      </c>
      <c r="AO67" s="858">
        <v>22.7</v>
      </c>
      <c r="AP67" s="860">
        <v>0.79209495839456689</v>
      </c>
      <c r="AQ67" s="859">
        <v>33.260869999999997</v>
      </c>
      <c r="AR67" s="860">
        <v>3.6996487563723952</v>
      </c>
      <c r="AS67" s="857">
        <v>2.7777777777777776E-2</v>
      </c>
      <c r="AT67" s="857">
        <v>0.19444444444444445</v>
      </c>
      <c r="AU67" s="857">
        <v>0.22222222222222221</v>
      </c>
      <c r="AV67" s="854">
        <v>0</v>
      </c>
      <c r="AW67" s="854">
        <v>0</v>
      </c>
      <c r="AX67" s="861">
        <v>0</v>
      </c>
      <c r="AY67" s="854">
        <v>0</v>
      </c>
      <c r="AZ67" s="854">
        <v>68</v>
      </c>
      <c r="BA67" s="854">
        <v>44</v>
      </c>
      <c r="BB67" s="854">
        <v>38</v>
      </c>
      <c r="BC67" s="854">
        <v>10</v>
      </c>
      <c r="BD67" s="854">
        <v>13</v>
      </c>
      <c r="BE67" s="854">
        <v>13</v>
      </c>
      <c r="BF67" s="855">
        <v>7.5637262474891029</v>
      </c>
      <c r="BG67" s="858">
        <v>4.8941758071988319</v>
      </c>
      <c r="BH67" s="858">
        <v>4.2267881971262637</v>
      </c>
      <c r="BI67" s="858">
        <v>1.11231268345428</v>
      </c>
      <c r="BJ67" s="858">
        <v>1.4460064884905639</v>
      </c>
      <c r="BK67" s="858">
        <v>1.4460064884905639</v>
      </c>
      <c r="BL67" s="854">
        <v>10</v>
      </c>
      <c r="BM67" s="854">
        <v>5</v>
      </c>
      <c r="BN67" s="854">
        <v>0</v>
      </c>
      <c r="BO67" s="854">
        <v>0</v>
      </c>
      <c r="BP67" s="854">
        <v>0</v>
      </c>
      <c r="BQ67" s="854">
        <v>0</v>
      </c>
      <c r="BR67" s="855">
        <v>3.6396579999999998</v>
      </c>
      <c r="BS67" s="854"/>
      <c r="BT67" s="854"/>
      <c r="BU67" s="862" t="s">
        <v>139</v>
      </c>
      <c r="BV67" s="854"/>
      <c r="BW67" s="854">
        <v>0</v>
      </c>
      <c r="BX67" s="854">
        <v>8</v>
      </c>
      <c r="BY67" s="854">
        <v>0</v>
      </c>
      <c r="BZ67" s="854">
        <v>0</v>
      </c>
      <c r="CA67" s="854">
        <v>1</v>
      </c>
      <c r="CB67" s="854">
        <v>0</v>
      </c>
      <c r="CC67" s="854">
        <v>0</v>
      </c>
      <c r="CD67" s="854">
        <v>0</v>
      </c>
      <c r="CE67" s="862">
        <v>0</v>
      </c>
      <c r="CF67" s="863">
        <v>3</v>
      </c>
      <c r="CG67" s="854">
        <v>0.30000000000000004</v>
      </c>
      <c r="CH67" s="854">
        <v>1.6</v>
      </c>
      <c r="CI67" s="854">
        <v>2</v>
      </c>
      <c r="CJ67" s="864">
        <v>6.6666666666666666E-2</v>
      </c>
      <c r="CK67" s="864">
        <v>0.222462536690856</v>
      </c>
      <c r="CL67" s="854">
        <v>9.1999999999999993</v>
      </c>
      <c r="CM67" s="854">
        <v>12.6</v>
      </c>
      <c r="CN67" s="854">
        <v>5.7</v>
      </c>
      <c r="CO67" s="854">
        <v>0.8</v>
      </c>
      <c r="CP67" s="854">
        <v>2.2000000000000002</v>
      </c>
      <c r="CQ67" s="854">
        <v>0</v>
      </c>
      <c r="CR67" s="854">
        <v>3</v>
      </c>
      <c r="CS67" s="865">
        <v>0.1</v>
      </c>
      <c r="CT67" s="865">
        <v>0.33369380503628399</v>
      </c>
      <c r="CU67" s="854"/>
      <c r="CV67" s="854"/>
      <c r="CW67" s="854"/>
      <c r="CX67" s="854"/>
      <c r="CY67" s="854"/>
      <c r="CZ67" s="854">
        <v>1075833</v>
      </c>
      <c r="DA67" s="854"/>
      <c r="DB67" s="866">
        <v>1.1107322926829268</v>
      </c>
    </row>
    <row r="68" spans="1:106" ht="26.25" x14ac:dyDescent="0.25">
      <c r="A68" s="867">
        <v>23</v>
      </c>
      <c r="B68" s="867" t="s">
        <v>505</v>
      </c>
      <c r="C68" s="867" t="s">
        <v>506</v>
      </c>
      <c r="D68" s="867" t="s">
        <v>234</v>
      </c>
      <c r="E68" s="867" t="s">
        <v>106</v>
      </c>
      <c r="F68" s="867">
        <v>74</v>
      </c>
      <c r="G68" s="867">
        <v>200</v>
      </c>
      <c r="H68" s="867" t="s">
        <v>117</v>
      </c>
      <c r="I68" s="867">
        <v>2009</v>
      </c>
      <c r="J68" s="867">
        <v>3</v>
      </c>
      <c r="K68" s="867">
        <v>83</v>
      </c>
      <c r="L68" s="867" t="s">
        <v>108</v>
      </c>
      <c r="M68" s="867">
        <v>23</v>
      </c>
      <c r="N68" s="867" t="s">
        <v>507</v>
      </c>
      <c r="O68" s="869" t="s">
        <v>508</v>
      </c>
      <c r="P68" s="869" t="s">
        <v>509</v>
      </c>
      <c r="Q68" s="867" t="s">
        <v>163</v>
      </c>
      <c r="R68" s="867"/>
      <c r="S68" s="867"/>
      <c r="T68" s="869" t="s">
        <v>138</v>
      </c>
      <c r="U68" s="867">
        <v>36</v>
      </c>
      <c r="V68" s="867">
        <v>1</v>
      </c>
      <c r="W68" s="867">
        <v>7</v>
      </c>
      <c r="X68" s="867">
        <v>8</v>
      </c>
      <c r="Y68" s="1298">
        <f t="shared" si="1"/>
        <v>0.22222222222222221</v>
      </c>
      <c r="Z68" s="1298" t="s">
        <v>668</v>
      </c>
      <c r="AA68" s="1298">
        <f>31/69</f>
        <v>0.44927536231884058</v>
      </c>
      <c r="AB68" s="867">
        <v>-6</v>
      </c>
      <c r="AC68" s="867">
        <v>56</v>
      </c>
      <c r="AD68" s="867">
        <v>24</v>
      </c>
      <c r="AE68" s="867">
        <v>40</v>
      </c>
      <c r="AF68" s="870">
        <v>1.7857142857142856E-2</v>
      </c>
      <c r="AG68" s="870">
        <v>8.3333333333333332E-3</v>
      </c>
      <c r="AH68" s="871">
        <v>47.7</v>
      </c>
      <c r="AI68" s="872">
        <v>30</v>
      </c>
      <c r="AJ68" s="872">
        <v>4</v>
      </c>
      <c r="AK68" s="872">
        <v>17</v>
      </c>
      <c r="AL68" s="868">
        <v>551.9</v>
      </c>
      <c r="AM68" s="871">
        <v>15.330555555555556</v>
      </c>
      <c r="AN68" s="867">
        <v>740</v>
      </c>
      <c r="AO68" s="871">
        <v>20.555555555555557</v>
      </c>
      <c r="AP68" s="873">
        <v>0.7458108108108108</v>
      </c>
      <c r="AQ68" s="872">
        <v>25.868421000000001</v>
      </c>
      <c r="AR68" s="873">
        <v>2.8122943649211818</v>
      </c>
      <c r="AS68" s="870">
        <v>1.7543859649122806E-2</v>
      </c>
      <c r="AT68" s="870">
        <v>0.12280701754385964</v>
      </c>
      <c r="AU68" s="870">
        <v>0.14035087719298245</v>
      </c>
      <c r="AV68" s="867">
        <v>0</v>
      </c>
      <c r="AW68" s="867">
        <v>0</v>
      </c>
      <c r="AX68" s="874">
        <v>0</v>
      </c>
      <c r="AY68" s="867">
        <v>0</v>
      </c>
      <c r="AZ68" s="867">
        <v>56</v>
      </c>
      <c r="BA68" s="867">
        <v>43</v>
      </c>
      <c r="BB68" s="867">
        <v>29</v>
      </c>
      <c r="BC68" s="867">
        <v>24</v>
      </c>
      <c r="BD68" s="867">
        <v>22</v>
      </c>
      <c r="BE68" s="867">
        <v>9</v>
      </c>
      <c r="BF68" s="868">
        <v>6.0880594310563509</v>
      </c>
      <c r="BG68" s="871">
        <v>4.6747599202754122</v>
      </c>
      <c r="BH68" s="871">
        <v>3.1527450625113245</v>
      </c>
      <c r="BI68" s="871">
        <v>2.609168327595579</v>
      </c>
      <c r="BJ68" s="871">
        <v>2.3917376336292806</v>
      </c>
      <c r="BK68" s="871">
        <v>0.97843812284834208</v>
      </c>
      <c r="BL68" s="867">
        <v>16</v>
      </c>
      <c r="BM68" s="867">
        <v>8</v>
      </c>
      <c r="BN68" s="867">
        <v>0</v>
      </c>
      <c r="BO68" s="867">
        <v>0</v>
      </c>
      <c r="BP68" s="867">
        <v>0</v>
      </c>
      <c r="BQ68" s="867">
        <v>0</v>
      </c>
      <c r="BR68" s="868">
        <v>-1.4894829999999999</v>
      </c>
      <c r="BS68" s="867"/>
      <c r="BT68" s="867"/>
      <c r="BU68" s="875" t="s">
        <v>139</v>
      </c>
      <c r="BV68" s="867"/>
      <c r="BW68" s="867">
        <v>0</v>
      </c>
      <c r="BX68" s="867">
        <v>6</v>
      </c>
      <c r="BY68" s="867">
        <v>0</v>
      </c>
      <c r="BZ68" s="867">
        <v>0</v>
      </c>
      <c r="CA68" s="867">
        <v>0</v>
      </c>
      <c r="CB68" s="867">
        <v>0</v>
      </c>
      <c r="CC68" s="867">
        <v>0</v>
      </c>
      <c r="CD68" s="867">
        <v>0</v>
      </c>
      <c r="CE68" s="875">
        <v>0</v>
      </c>
      <c r="CF68" s="876">
        <v>0</v>
      </c>
      <c r="CG68" s="867">
        <v>0.30000000000000004</v>
      </c>
      <c r="CH68" s="867">
        <v>0.5</v>
      </c>
      <c r="CI68" s="867">
        <v>0.8</v>
      </c>
      <c r="CJ68" s="877">
        <v>2.2222222222222223E-2</v>
      </c>
      <c r="CK68" s="877">
        <v>8.6972277586519306E-2</v>
      </c>
      <c r="CL68" s="867">
        <v>10.5</v>
      </c>
      <c r="CM68" s="867">
        <v>10.6</v>
      </c>
      <c r="CN68" s="867">
        <v>-6.3</v>
      </c>
      <c r="CO68" s="867">
        <v>0.60000000000000009</v>
      </c>
      <c r="CP68" s="867">
        <v>-0.1</v>
      </c>
      <c r="CQ68" s="867">
        <v>0</v>
      </c>
      <c r="CR68" s="867">
        <v>0.5</v>
      </c>
      <c r="CS68" s="878">
        <v>1.3888888888888888E-2</v>
      </c>
      <c r="CT68" s="878">
        <v>5.4357673491574561E-2</v>
      </c>
      <c r="CU68" s="867"/>
      <c r="CV68" s="867"/>
      <c r="CW68" s="867"/>
      <c r="CX68" s="867"/>
      <c r="CY68" s="867"/>
      <c r="CZ68" s="867">
        <v>683333</v>
      </c>
      <c r="DA68" s="867"/>
      <c r="DB68" s="879">
        <v>-0.69999941463414617</v>
      </c>
    </row>
    <row r="69" spans="1:106" x14ac:dyDescent="0.25">
      <c r="A69" s="880">
        <v>70</v>
      </c>
      <c r="B69" s="880" t="s">
        <v>510</v>
      </c>
      <c r="C69" s="880" t="s">
        <v>182</v>
      </c>
      <c r="D69" s="880" t="s">
        <v>168</v>
      </c>
      <c r="E69" s="880" t="s">
        <v>106</v>
      </c>
      <c r="F69" s="880">
        <v>73</v>
      </c>
      <c r="G69" s="880">
        <v>200</v>
      </c>
      <c r="H69" s="880" t="s">
        <v>117</v>
      </c>
      <c r="I69" s="880">
        <v>2012</v>
      </c>
      <c r="J69" s="880">
        <v>1</v>
      </c>
      <c r="K69" s="880">
        <v>30</v>
      </c>
      <c r="L69" s="880" t="s">
        <v>108</v>
      </c>
      <c r="M69" s="880">
        <v>21</v>
      </c>
      <c r="N69" s="880" t="s">
        <v>511</v>
      </c>
      <c r="O69" s="882" t="s">
        <v>512</v>
      </c>
      <c r="P69" s="882" t="s">
        <v>513</v>
      </c>
      <c r="Q69" s="880" t="s">
        <v>206</v>
      </c>
      <c r="R69" s="880"/>
      <c r="S69" s="880"/>
      <c r="T69" s="882" t="s">
        <v>122</v>
      </c>
      <c r="U69" s="880">
        <v>25</v>
      </c>
      <c r="V69" s="880">
        <v>3</v>
      </c>
      <c r="W69" s="880">
        <v>4</v>
      </c>
      <c r="X69" s="880">
        <v>7</v>
      </c>
      <c r="Y69" s="1298">
        <f t="shared" si="1"/>
        <v>0.28000000000000003</v>
      </c>
      <c r="Z69" s="1298" t="s">
        <v>668</v>
      </c>
      <c r="AA69" s="1298">
        <f>32/41</f>
        <v>0.78048780487804881</v>
      </c>
      <c r="AB69" s="880">
        <v>2</v>
      </c>
      <c r="AC69" s="880">
        <v>31</v>
      </c>
      <c r="AD69" s="880">
        <v>20</v>
      </c>
      <c r="AE69" s="880">
        <v>11</v>
      </c>
      <c r="AF69" s="883">
        <v>9.6774193548387094E-2</v>
      </c>
      <c r="AG69" s="883">
        <v>4.8387096774193547E-2</v>
      </c>
      <c r="AH69" s="884">
        <v>27.6</v>
      </c>
      <c r="AI69" s="885">
        <v>21</v>
      </c>
      <c r="AJ69" s="885">
        <v>7</v>
      </c>
      <c r="AK69" s="885">
        <v>1</v>
      </c>
      <c r="AL69" s="881">
        <v>270.21666666670001</v>
      </c>
      <c r="AM69" s="884">
        <v>10.808666666668</v>
      </c>
      <c r="AN69" s="880">
        <v>388</v>
      </c>
      <c r="AO69" s="884">
        <v>15.52</v>
      </c>
      <c r="AP69" s="886">
        <v>0.69643470790386597</v>
      </c>
      <c r="AQ69" s="885">
        <v>27.111111000000001</v>
      </c>
      <c r="AR69" s="886">
        <v>6.019860581014493</v>
      </c>
      <c r="AS69" s="883">
        <v>7.6923076923076927E-2</v>
      </c>
      <c r="AT69" s="883">
        <v>0.10256410256410256</v>
      </c>
      <c r="AU69" s="883">
        <v>0.17948717948717949</v>
      </c>
      <c r="AV69" s="880">
        <v>1</v>
      </c>
      <c r="AW69" s="880">
        <v>1</v>
      </c>
      <c r="AX69" s="887">
        <v>0.5</v>
      </c>
      <c r="AY69" s="880">
        <v>0.1</v>
      </c>
      <c r="AZ69" s="880">
        <v>36</v>
      </c>
      <c r="BA69" s="880">
        <v>35</v>
      </c>
      <c r="BB69" s="880">
        <v>9</v>
      </c>
      <c r="BC69" s="880">
        <v>20</v>
      </c>
      <c r="BD69" s="880">
        <v>9</v>
      </c>
      <c r="BE69" s="880">
        <v>9</v>
      </c>
      <c r="BF69" s="881">
        <v>7.993585394435577</v>
      </c>
      <c r="BG69" s="884">
        <v>7.7715413557012551</v>
      </c>
      <c r="BH69" s="884">
        <v>1.9983963486088943</v>
      </c>
      <c r="BI69" s="884">
        <v>4.4408807746864323</v>
      </c>
      <c r="BJ69" s="884">
        <v>1.9983963486088943</v>
      </c>
      <c r="BK69" s="884">
        <v>1.9983963486088943</v>
      </c>
      <c r="BL69" s="880">
        <v>8</v>
      </c>
      <c r="BM69" s="880">
        <v>4</v>
      </c>
      <c r="BN69" s="880">
        <v>0</v>
      </c>
      <c r="BO69" s="880">
        <v>0</v>
      </c>
      <c r="BP69" s="880">
        <v>0</v>
      </c>
      <c r="BQ69" s="880">
        <v>0</v>
      </c>
      <c r="BR69" s="881">
        <v>4.5697190000000001</v>
      </c>
      <c r="BS69" s="880"/>
      <c r="BT69" s="880"/>
      <c r="BU69" s="888" t="s">
        <v>139</v>
      </c>
      <c r="BV69" s="880"/>
      <c r="BW69" s="880">
        <v>1</v>
      </c>
      <c r="BX69" s="880">
        <v>5</v>
      </c>
      <c r="BY69" s="880">
        <v>0</v>
      </c>
      <c r="BZ69" s="880">
        <v>0</v>
      </c>
      <c r="CA69" s="880">
        <v>1</v>
      </c>
      <c r="CB69" s="880">
        <v>0</v>
      </c>
      <c r="CC69" s="880">
        <v>0</v>
      </c>
      <c r="CD69" s="880">
        <v>0</v>
      </c>
      <c r="CE69" s="888">
        <v>0</v>
      </c>
      <c r="CF69" s="889">
        <v>4</v>
      </c>
      <c r="CG69" s="880">
        <v>0.4</v>
      </c>
      <c r="CH69" s="880">
        <v>0.4</v>
      </c>
      <c r="CI69" s="880">
        <v>0.8</v>
      </c>
      <c r="CJ69" s="890">
        <v>3.2000000000000001E-2</v>
      </c>
      <c r="CK69" s="890">
        <v>0.17763523098745729</v>
      </c>
      <c r="CL69" s="880">
        <v>6.5</v>
      </c>
      <c r="CM69" s="880">
        <v>5.7</v>
      </c>
      <c r="CN69" s="880">
        <v>0</v>
      </c>
      <c r="CO69" s="880">
        <v>0</v>
      </c>
      <c r="CP69" s="880">
        <v>0.8</v>
      </c>
      <c r="CQ69" s="880">
        <v>0</v>
      </c>
      <c r="CR69" s="880">
        <v>0.9</v>
      </c>
      <c r="CS69" s="891">
        <v>3.6000000000000004E-2</v>
      </c>
      <c r="CT69" s="891">
        <v>0.19983963486088943</v>
      </c>
      <c r="CU69" s="880"/>
      <c r="CV69" s="880"/>
      <c r="CW69" s="880"/>
      <c r="CX69" s="880"/>
      <c r="CY69" s="880"/>
      <c r="CZ69" s="880">
        <v>925000</v>
      </c>
      <c r="DA69" s="880"/>
      <c r="DB69" s="892">
        <v>-0.72439024390243867</v>
      </c>
    </row>
    <row r="70" spans="1:106" x14ac:dyDescent="0.25">
      <c r="A70" s="893">
        <v>58</v>
      </c>
      <c r="B70" s="893" t="s">
        <v>514</v>
      </c>
      <c r="C70" s="893" t="s">
        <v>444</v>
      </c>
      <c r="D70" s="893" t="s">
        <v>168</v>
      </c>
      <c r="E70" s="893" t="s">
        <v>106</v>
      </c>
      <c r="F70" s="893">
        <v>72</v>
      </c>
      <c r="G70" s="893">
        <v>185</v>
      </c>
      <c r="H70" s="893" t="s">
        <v>107</v>
      </c>
      <c r="I70" s="893">
        <v>2008</v>
      </c>
      <c r="J70" s="893">
        <v>2</v>
      </c>
      <c r="K70" s="893">
        <v>39</v>
      </c>
      <c r="L70" s="893" t="s">
        <v>108</v>
      </c>
      <c r="M70" s="893">
        <v>23</v>
      </c>
      <c r="N70" s="893" t="s">
        <v>515</v>
      </c>
      <c r="O70" s="895" t="s">
        <v>229</v>
      </c>
      <c r="P70" s="895" t="s">
        <v>516</v>
      </c>
      <c r="Q70" s="893" t="s">
        <v>186</v>
      </c>
      <c r="R70" s="893"/>
      <c r="S70" s="893"/>
      <c r="T70" s="895" t="s">
        <v>113</v>
      </c>
      <c r="U70" s="893">
        <v>30</v>
      </c>
      <c r="V70" s="893">
        <v>3</v>
      </c>
      <c r="W70" s="893">
        <v>4</v>
      </c>
      <c r="X70" s="893">
        <v>7</v>
      </c>
      <c r="Y70" s="1298">
        <f t="shared" si="1"/>
        <v>0.23333333333333334</v>
      </c>
      <c r="Z70" s="1298" t="s">
        <v>668</v>
      </c>
      <c r="AA70" s="1298">
        <f>42/42</f>
        <v>1</v>
      </c>
      <c r="AB70" s="893">
        <v>-2</v>
      </c>
      <c r="AC70" s="893">
        <v>17</v>
      </c>
      <c r="AD70" s="893">
        <v>12</v>
      </c>
      <c r="AE70" s="893">
        <v>2</v>
      </c>
      <c r="AF70" s="896">
        <v>0.17647058823529413</v>
      </c>
      <c r="AG70" s="896">
        <v>9.6774193548387094E-2</v>
      </c>
      <c r="AH70" s="897">
        <v>21.7</v>
      </c>
      <c r="AI70" s="898">
        <v>7</v>
      </c>
      <c r="AJ70" s="898">
        <v>3</v>
      </c>
      <c r="AK70" s="898">
        <v>2</v>
      </c>
      <c r="AL70" s="894">
        <v>290.71666666670001</v>
      </c>
      <c r="AM70" s="897">
        <v>9.6905555555566671</v>
      </c>
      <c r="AN70" s="893">
        <v>403</v>
      </c>
      <c r="AO70" s="897">
        <v>13.433333333333334</v>
      </c>
      <c r="AP70" s="899">
        <v>0.72138130686526059</v>
      </c>
      <c r="AQ70" s="898">
        <v>0</v>
      </c>
      <c r="AR70" s="899">
        <v>0</v>
      </c>
      <c r="AS70" s="896">
        <v>5.3571428571428568E-2</v>
      </c>
      <c r="AT70" s="896">
        <v>7.1428571428571425E-2</v>
      </c>
      <c r="AU70" s="896">
        <v>0.125</v>
      </c>
      <c r="AV70" s="893">
        <v>78</v>
      </c>
      <c r="AW70" s="893">
        <v>78</v>
      </c>
      <c r="AX70" s="900">
        <v>0.5</v>
      </c>
      <c r="AY70" s="893">
        <v>8.8000000000000007</v>
      </c>
      <c r="AZ70" s="893">
        <v>32</v>
      </c>
      <c r="BA70" s="893">
        <v>31</v>
      </c>
      <c r="BB70" s="893">
        <v>12</v>
      </c>
      <c r="BC70" s="893">
        <v>12</v>
      </c>
      <c r="BD70" s="893">
        <v>4</v>
      </c>
      <c r="BE70" s="893">
        <v>15</v>
      </c>
      <c r="BF70" s="894">
        <v>6.6043685145896225</v>
      </c>
      <c r="BG70" s="897">
        <v>6.3979819985086976</v>
      </c>
      <c r="BH70" s="897">
        <v>2.4766381929711083</v>
      </c>
      <c r="BI70" s="897">
        <v>2.4766381929711083</v>
      </c>
      <c r="BJ70" s="897">
        <v>0.82554606432370281</v>
      </c>
      <c r="BK70" s="897">
        <v>3.0957977412138855</v>
      </c>
      <c r="BL70" s="893">
        <v>10</v>
      </c>
      <c r="BM70" s="893">
        <v>5</v>
      </c>
      <c r="BN70" s="893">
        <v>0</v>
      </c>
      <c r="BO70" s="893">
        <v>0</v>
      </c>
      <c r="BP70" s="893">
        <v>0</v>
      </c>
      <c r="BQ70" s="893">
        <v>0</v>
      </c>
      <c r="BR70" s="894">
        <v>0.51074200000000003</v>
      </c>
      <c r="BS70" s="893"/>
      <c r="BT70" s="893"/>
      <c r="BU70" s="901" t="s">
        <v>139</v>
      </c>
      <c r="BV70" s="893"/>
      <c r="BW70" s="893">
        <v>1</v>
      </c>
      <c r="BX70" s="893">
        <v>7</v>
      </c>
      <c r="BY70" s="893">
        <v>0</v>
      </c>
      <c r="BZ70" s="893">
        <v>0</v>
      </c>
      <c r="CA70" s="893">
        <v>1</v>
      </c>
      <c r="CB70" s="893">
        <v>0</v>
      </c>
      <c r="CC70" s="893">
        <v>0</v>
      </c>
      <c r="CD70" s="893">
        <v>0</v>
      </c>
      <c r="CE70" s="901">
        <v>0</v>
      </c>
      <c r="CF70" s="902">
        <v>3</v>
      </c>
      <c r="CG70" s="893">
        <v>0.30000000000000004</v>
      </c>
      <c r="CH70" s="893">
        <v>0.2</v>
      </c>
      <c r="CI70" s="893">
        <v>0.5</v>
      </c>
      <c r="CJ70" s="903">
        <v>1.6666666666666666E-2</v>
      </c>
      <c r="CK70" s="903">
        <v>0.10319325804046285</v>
      </c>
      <c r="CL70" s="893">
        <v>6.1</v>
      </c>
      <c r="CM70" s="893">
        <v>5.9</v>
      </c>
      <c r="CN70" s="893">
        <v>-1.8</v>
      </c>
      <c r="CO70" s="893">
        <v>0.1</v>
      </c>
      <c r="CP70" s="893">
        <v>0.30000000000000004</v>
      </c>
      <c r="CQ70" s="893">
        <v>0</v>
      </c>
      <c r="CR70" s="893">
        <v>0.4</v>
      </c>
      <c r="CS70" s="904">
        <v>1.3333333333333334E-2</v>
      </c>
      <c r="CT70" s="904">
        <v>8.2554606432370281E-2</v>
      </c>
      <c r="CU70" s="893"/>
      <c r="CV70" s="893"/>
      <c r="CW70" s="893"/>
      <c r="CX70" s="893"/>
      <c r="CY70" s="893"/>
      <c r="CZ70" s="893">
        <v>630000</v>
      </c>
      <c r="DA70" s="893"/>
      <c r="DB70" s="905">
        <v>-0.70634146341463422</v>
      </c>
    </row>
    <row r="71" spans="1:106" x14ac:dyDescent="0.25">
      <c r="A71" s="906">
        <v>15</v>
      </c>
      <c r="B71" s="906" t="s">
        <v>517</v>
      </c>
      <c r="C71" s="906" t="s">
        <v>518</v>
      </c>
      <c r="D71" s="906" t="s">
        <v>133</v>
      </c>
      <c r="E71" s="906" t="s">
        <v>127</v>
      </c>
      <c r="F71" s="906">
        <v>70</v>
      </c>
      <c r="G71" s="906">
        <v>195</v>
      </c>
      <c r="H71" s="906" t="s">
        <v>117</v>
      </c>
      <c r="I71" s="906">
        <v>2011</v>
      </c>
      <c r="J71" s="906">
        <v>4</v>
      </c>
      <c r="K71" s="906">
        <v>99</v>
      </c>
      <c r="L71" s="906" t="s">
        <v>108</v>
      </c>
      <c r="M71" s="906">
        <v>20</v>
      </c>
      <c r="N71" s="906" t="s">
        <v>519</v>
      </c>
      <c r="O71" s="908" t="s">
        <v>520</v>
      </c>
      <c r="P71" s="908" t="s">
        <v>521</v>
      </c>
      <c r="Q71" s="906" t="s">
        <v>231</v>
      </c>
      <c r="R71" s="906"/>
      <c r="S71" s="906"/>
      <c r="T71" s="908" t="s">
        <v>413</v>
      </c>
      <c r="U71" s="906">
        <v>23</v>
      </c>
      <c r="V71" s="906">
        <v>2</v>
      </c>
      <c r="W71" s="906">
        <v>5</v>
      </c>
      <c r="X71" s="906">
        <v>7</v>
      </c>
      <c r="Y71" s="1298">
        <f t="shared" si="1"/>
        <v>0.30434782608695654</v>
      </c>
      <c r="Z71" s="1298" t="s">
        <v>668</v>
      </c>
      <c r="AA71" s="1298">
        <f>38/56</f>
        <v>0.6785714285714286</v>
      </c>
      <c r="AB71" s="906">
        <v>2</v>
      </c>
      <c r="AC71" s="906">
        <v>27</v>
      </c>
      <c r="AD71" s="906">
        <v>15</v>
      </c>
      <c r="AE71" s="906">
        <v>11</v>
      </c>
      <c r="AF71" s="909">
        <v>7.407407407407407E-2</v>
      </c>
      <c r="AG71" s="909">
        <v>3.7735849056603772E-2</v>
      </c>
      <c r="AH71" s="910">
        <v>26.6</v>
      </c>
      <c r="AI71" s="911">
        <v>12</v>
      </c>
      <c r="AJ71" s="911">
        <v>12</v>
      </c>
      <c r="AK71" s="911">
        <v>1</v>
      </c>
      <c r="AL71" s="907">
        <v>261.1666666667</v>
      </c>
      <c r="AM71" s="910">
        <v>11.355072463769565</v>
      </c>
      <c r="AN71" s="906">
        <v>354</v>
      </c>
      <c r="AO71" s="910">
        <v>15.391304347826088</v>
      </c>
      <c r="AP71" s="912">
        <v>0.73775894538615816</v>
      </c>
      <c r="AQ71" s="911">
        <v>42.666666999999997</v>
      </c>
      <c r="AR71" s="912">
        <v>9.8021698276949838</v>
      </c>
      <c r="AS71" s="909">
        <v>4.0816326530612242E-2</v>
      </c>
      <c r="AT71" s="909">
        <v>0.10204081632653061</v>
      </c>
      <c r="AU71" s="909">
        <v>0.14285714285714285</v>
      </c>
      <c r="AV71" s="906">
        <v>1</v>
      </c>
      <c r="AW71" s="906">
        <v>2</v>
      </c>
      <c r="AX71" s="913">
        <v>0.33333333333333331</v>
      </c>
      <c r="AY71" s="906">
        <v>0.2</v>
      </c>
      <c r="AZ71" s="906">
        <v>29</v>
      </c>
      <c r="BA71" s="906">
        <v>17</v>
      </c>
      <c r="BB71" s="906">
        <v>5</v>
      </c>
      <c r="BC71" s="906">
        <v>15</v>
      </c>
      <c r="BD71" s="906">
        <v>3</v>
      </c>
      <c r="BE71" s="906">
        <v>6</v>
      </c>
      <c r="BF71" s="907">
        <v>6.6624122527113387</v>
      </c>
      <c r="BG71" s="910">
        <v>3.9055520102100951</v>
      </c>
      <c r="BH71" s="910">
        <v>1.1486917677088515</v>
      </c>
      <c r="BI71" s="910">
        <v>3.4460753031265545</v>
      </c>
      <c r="BJ71" s="910">
        <v>0.6892150606253109</v>
      </c>
      <c r="BK71" s="910">
        <v>1.3784301212506218</v>
      </c>
      <c r="BL71" s="906">
        <v>4</v>
      </c>
      <c r="BM71" s="906">
        <v>2</v>
      </c>
      <c r="BN71" s="906">
        <v>0</v>
      </c>
      <c r="BO71" s="906">
        <v>0</v>
      </c>
      <c r="BP71" s="906">
        <v>0</v>
      </c>
      <c r="BQ71" s="906">
        <v>0</v>
      </c>
      <c r="BR71" s="907">
        <v>-0.38934199999999997</v>
      </c>
      <c r="BS71" s="906">
        <v>2</v>
      </c>
      <c r="BT71" s="906">
        <v>1</v>
      </c>
      <c r="BU71" s="914">
        <v>0.5</v>
      </c>
      <c r="BV71" s="906">
        <v>0</v>
      </c>
      <c r="BW71" s="906">
        <v>0</v>
      </c>
      <c r="BX71" s="906">
        <v>9</v>
      </c>
      <c r="BY71" s="906">
        <v>0</v>
      </c>
      <c r="BZ71" s="906">
        <v>0</v>
      </c>
      <c r="CA71" s="906">
        <v>0</v>
      </c>
      <c r="CB71" s="906">
        <v>0</v>
      </c>
      <c r="CC71" s="906">
        <v>0</v>
      </c>
      <c r="CD71" s="906">
        <v>0</v>
      </c>
      <c r="CE71" s="914">
        <v>0</v>
      </c>
      <c r="CF71" s="915">
        <v>2</v>
      </c>
      <c r="CG71" s="906">
        <v>0.30000000000000004</v>
      </c>
      <c r="CH71" s="906">
        <v>0.5</v>
      </c>
      <c r="CI71" s="906">
        <v>0.7</v>
      </c>
      <c r="CJ71" s="916">
        <v>3.043478260869565E-2</v>
      </c>
      <c r="CK71" s="916">
        <v>0.16081684747923919</v>
      </c>
      <c r="CL71" s="906">
        <v>4.9000000000000004</v>
      </c>
      <c r="CM71" s="906">
        <v>4.7</v>
      </c>
      <c r="CN71" s="906">
        <v>2.6</v>
      </c>
      <c r="CO71" s="906">
        <v>0.5</v>
      </c>
      <c r="CP71" s="906">
        <v>0.9</v>
      </c>
      <c r="CQ71" s="906">
        <v>0.30000000000000004</v>
      </c>
      <c r="CR71" s="906">
        <v>1.8</v>
      </c>
      <c r="CS71" s="917">
        <v>7.8260869565217397E-2</v>
      </c>
      <c r="CT71" s="917">
        <v>0.41352903637518656</v>
      </c>
      <c r="CU71" s="906"/>
      <c r="CV71" s="906"/>
      <c r="CW71" s="906"/>
      <c r="CX71" s="906"/>
      <c r="CY71" s="906"/>
      <c r="CZ71" s="906">
        <v>925000</v>
      </c>
      <c r="DA71" s="906"/>
      <c r="DB71" s="918">
        <v>0.17560975609756135</v>
      </c>
    </row>
    <row r="72" spans="1:106" ht="26.25" x14ac:dyDescent="0.25">
      <c r="A72" s="919">
        <v>41</v>
      </c>
      <c r="B72" s="919" t="s">
        <v>522</v>
      </c>
      <c r="C72" s="919" t="s">
        <v>523</v>
      </c>
      <c r="D72" s="919" t="s">
        <v>133</v>
      </c>
      <c r="E72" s="919" t="s">
        <v>127</v>
      </c>
      <c r="F72" s="919">
        <v>71</v>
      </c>
      <c r="G72" s="919">
        <v>195</v>
      </c>
      <c r="H72" s="919" t="s">
        <v>107</v>
      </c>
      <c r="I72" s="919"/>
      <c r="J72" s="919"/>
      <c r="K72" s="919"/>
      <c r="L72" s="919" t="s">
        <v>108</v>
      </c>
      <c r="M72" s="919">
        <v>24</v>
      </c>
      <c r="N72" s="919" t="s">
        <v>524</v>
      </c>
      <c r="O72" s="921" t="s">
        <v>525</v>
      </c>
      <c r="P72" s="921" t="s">
        <v>526</v>
      </c>
      <c r="Q72" s="919" t="s">
        <v>284</v>
      </c>
      <c r="R72" s="919"/>
      <c r="S72" s="919"/>
      <c r="T72" s="921" t="s">
        <v>207</v>
      </c>
      <c r="U72" s="919">
        <v>56</v>
      </c>
      <c r="V72" s="919">
        <v>1</v>
      </c>
      <c r="W72" s="919">
        <v>6</v>
      </c>
      <c r="X72" s="919">
        <v>7</v>
      </c>
      <c r="Y72" s="1298">
        <f t="shared" si="1"/>
        <v>0.125</v>
      </c>
      <c r="Z72" s="1298" t="s">
        <v>668</v>
      </c>
      <c r="AA72" s="1298">
        <f>26/51</f>
        <v>0.50980392156862742</v>
      </c>
      <c r="AB72" s="919">
        <v>-8</v>
      </c>
      <c r="AC72" s="919">
        <v>54</v>
      </c>
      <c r="AD72" s="919">
        <v>15</v>
      </c>
      <c r="AE72" s="919">
        <v>16</v>
      </c>
      <c r="AF72" s="922">
        <v>1.8518518518518517E-2</v>
      </c>
      <c r="AG72" s="922">
        <v>1.1764705882352941E-2</v>
      </c>
      <c r="AH72" s="923">
        <v>26.7</v>
      </c>
      <c r="AI72" s="924">
        <v>24</v>
      </c>
      <c r="AJ72" s="924">
        <v>7</v>
      </c>
      <c r="AK72" s="924">
        <v>0</v>
      </c>
      <c r="AL72" s="920">
        <v>779.18333333329997</v>
      </c>
      <c r="AM72" s="923">
        <v>13.913988095237499</v>
      </c>
      <c r="AN72" s="919">
        <v>1132</v>
      </c>
      <c r="AO72" s="923">
        <v>20.214285714285715</v>
      </c>
      <c r="AP72" s="925">
        <v>0.68832449941104235</v>
      </c>
      <c r="AQ72" s="924">
        <v>113.57142899999999</v>
      </c>
      <c r="AR72" s="925">
        <v>8.7454202990314105</v>
      </c>
      <c r="AS72" s="922">
        <v>1.0101010101010102E-2</v>
      </c>
      <c r="AT72" s="922">
        <v>6.0606060606060608E-2</v>
      </c>
      <c r="AU72" s="922">
        <v>7.0707070707070704E-2</v>
      </c>
      <c r="AV72" s="919">
        <v>329</v>
      </c>
      <c r="AW72" s="919">
        <v>349</v>
      </c>
      <c r="AX72" s="926">
        <v>0.48525073746312686</v>
      </c>
      <c r="AY72" s="919">
        <v>20.6</v>
      </c>
      <c r="AZ72" s="919">
        <v>102</v>
      </c>
      <c r="BA72" s="919">
        <v>92</v>
      </c>
      <c r="BB72" s="919">
        <v>38</v>
      </c>
      <c r="BC72" s="919">
        <v>15</v>
      </c>
      <c r="BD72" s="919">
        <v>7</v>
      </c>
      <c r="BE72" s="919">
        <v>12</v>
      </c>
      <c r="BF72" s="920">
        <v>7.8543774464720704</v>
      </c>
      <c r="BG72" s="923">
        <v>7.0843404419159839</v>
      </c>
      <c r="BH72" s="923">
        <v>2.9261406173131239</v>
      </c>
      <c r="BI72" s="923">
        <v>1.1550555068341279</v>
      </c>
      <c r="BJ72" s="923">
        <v>0.53902590318925969</v>
      </c>
      <c r="BK72" s="923">
        <v>0.92404440546730227</v>
      </c>
      <c r="BL72" s="919">
        <v>22</v>
      </c>
      <c r="BM72" s="919">
        <v>11</v>
      </c>
      <c r="BN72" s="919">
        <v>0</v>
      </c>
      <c r="BO72" s="919">
        <v>0</v>
      </c>
      <c r="BP72" s="919">
        <v>0</v>
      </c>
      <c r="BQ72" s="919">
        <v>0</v>
      </c>
      <c r="BR72" s="920">
        <v>3.5445609999999999</v>
      </c>
      <c r="BS72" s="919"/>
      <c r="BT72" s="919"/>
      <c r="BU72" s="927" t="s">
        <v>139</v>
      </c>
      <c r="BV72" s="919"/>
      <c r="BW72" s="919">
        <v>0</v>
      </c>
      <c r="BX72" s="919">
        <v>16</v>
      </c>
      <c r="BY72" s="919">
        <v>0</v>
      </c>
      <c r="BZ72" s="919">
        <v>0</v>
      </c>
      <c r="CA72" s="919">
        <v>0</v>
      </c>
      <c r="CB72" s="919">
        <v>0</v>
      </c>
      <c r="CC72" s="919">
        <v>0</v>
      </c>
      <c r="CD72" s="919">
        <v>0</v>
      </c>
      <c r="CE72" s="927">
        <v>0</v>
      </c>
      <c r="CF72" s="928">
        <v>6</v>
      </c>
      <c r="CG72" s="919">
        <v>-1.3</v>
      </c>
      <c r="CH72" s="919">
        <v>0.5</v>
      </c>
      <c r="CI72" s="919">
        <v>-0.8</v>
      </c>
      <c r="CJ72" s="929">
        <v>-1.4285714285714287E-2</v>
      </c>
      <c r="CK72" s="929">
        <v>-6.1602960364486828E-2</v>
      </c>
      <c r="CL72" s="919">
        <v>11.2</v>
      </c>
      <c r="CM72" s="919">
        <v>16.8</v>
      </c>
      <c r="CN72" s="919">
        <v>-8.8000000000000007</v>
      </c>
      <c r="CO72" s="919">
        <v>-2.4</v>
      </c>
      <c r="CP72" s="919">
        <v>2.2000000000000002</v>
      </c>
      <c r="CQ72" s="919">
        <v>0</v>
      </c>
      <c r="CR72" s="919">
        <v>-0.2</v>
      </c>
      <c r="CS72" s="930">
        <v>-3.5714285714285718E-3</v>
      </c>
      <c r="CT72" s="930">
        <v>-1.5400740091121707E-2</v>
      </c>
      <c r="CU72" s="919"/>
      <c r="CV72" s="919"/>
      <c r="CW72" s="919"/>
      <c r="CX72" s="919"/>
      <c r="CY72" s="919"/>
      <c r="CZ72" s="919">
        <v>575000</v>
      </c>
      <c r="DA72" s="919"/>
      <c r="DB72" s="931">
        <v>-1.2097560975609756</v>
      </c>
    </row>
    <row r="73" spans="1:106" x14ac:dyDescent="0.25">
      <c r="A73" s="932">
        <v>3</v>
      </c>
      <c r="B73" s="932" t="s">
        <v>527</v>
      </c>
      <c r="C73" s="932" t="s">
        <v>528</v>
      </c>
      <c r="D73" s="932" t="s">
        <v>234</v>
      </c>
      <c r="E73" s="932" t="s">
        <v>106</v>
      </c>
      <c r="F73" s="932">
        <v>73</v>
      </c>
      <c r="G73" s="932">
        <v>192</v>
      </c>
      <c r="H73" s="932" t="s">
        <v>107</v>
      </c>
      <c r="I73" s="932">
        <v>2010</v>
      </c>
      <c r="J73" s="932">
        <v>1</v>
      </c>
      <c r="K73" s="932">
        <v>23</v>
      </c>
      <c r="L73" s="932" t="s">
        <v>108</v>
      </c>
      <c r="M73" s="932">
        <v>22</v>
      </c>
      <c r="N73" s="932" t="s">
        <v>529</v>
      </c>
      <c r="O73" s="934" t="s">
        <v>184</v>
      </c>
      <c r="P73" s="934" t="s">
        <v>530</v>
      </c>
      <c r="Q73" s="932" t="s">
        <v>311</v>
      </c>
      <c r="R73" s="932"/>
      <c r="S73" s="932"/>
      <c r="T73" s="934" t="s">
        <v>138</v>
      </c>
      <c r="U73" s="932">
        <v>44</v>
      </c>
      <c r="V73" s="932">
        <v>1</v>
      </c>
      <c r="W73" s="932">
        <v>6</v>
      </c>
      <c r="X73" s="932">
        <v>7</v>
      </c>
      <c r="Y73" s="1298">
        <f t="shared" si="1"/>
        <v>0.15909090909090909</v>
      </c>
      <c r="Z73" s="1298" t="s">
        <v>668</v>
      </c>
      <c r="AA73" s="1298">
        <f>18/57</f>
        <v>0.31578947368421051</v>
      </c>
      <c r="AB73" s="932">
        <v>-11</v>
      </c>
      <c r="AC73" s="932">
        <v>51</v>
      </c>
      <c r="AD73" s="932">
        <v>27</v>
      </c>
      <c r="AE73" s="932">
        <v>31</v>
      </c>
      <c r="AF73" s="935">
        <v>1.9607843137254902E-2</v>
      </c>
      <c r="AG73" s="935">
        <v>9.1743119266055051E-3</v>
      </c>
      <c r="AH73" s="936">
        <v>47.4</v>
      </c>
      <c r="AI73" s="937">
        <v>15</v>
      </c>
      <c r="AJ73" s="937">
        <v>10</v>
      </c>
      <c r="AK73" s="937">
        <v>18</v>
      </c>
      <c r="AL73" s="933">
        <v>863.36666666669998</v>
      </c>
      <c r="AM73" s="936">
        <v>19.621969696970453</v>
      </c>
      <c r="AN73" s="932">
        <v>1109</v>
      </c>
      <c r="AO73" s="936">
        <v>25.204545454545453</v>
      </c>
      <c r="AP73" s="938">
        <v>0.77850916741812437</v>
      </c>
      <c r="AQ73" s="937">
        <v>0</v>
      </c>
      <c r="AR73" s="938">
        <v>0</v>
      </c>
      <c r="AS73" s="935">
        <v>1.4492753623188406E-2</v>
      </c>
      <c r="AT73" s="935">
        <v>8.6956521739130432E-2</v>
      </c>
      <c r="AU73" s="935">
        <v>0.10144927536231883</v>
      </c>
      <c r="AV73" s="932">
        <v>0</v>
      </c>
      <c r="AW73" s="932">
        <v>0</v>
      </c>
      <c r="AX73" s="939">
        <v>0</v>
      </c>
      <c r="AY73" s="932">
        <v>0</v>
      </c>
      <c r="AZ73" s="932">
        <v>50</v>
      </c>
      <c r="BA73" s="932">
        <v>37</v>
      </c>
      <c r="BB73" s="932">
        <v>57</v>
      </c>
      <c r="BC73" s="932">
        <v>27</v>
      </c>
      <c r="BD73" s="932">
        <v>19</v>
      </c>
      <c r="BE73" s="932">
        <v>12</v>
      </c>
      <c r="BF73" s="933">
        <v>3.4747693139259694</v>
      </c>
      <c r="BG73" s="936">
        <v>2.5713292923052169</v>
      </c>
      <c r="BH73" s="936">
        <v>3.9612370178756047</v>
      </c>
      <c r="BI73" s="936">
        <v>1.8763754295200232</v>
      </c>
      <c r="BJ73" s="936">
        <v>1.3204123392918683</v>
      </c>
      <c r="BK73" s="936">
        <v>0.83394463534223251</v>
      </c>
      <c r="BL73" s="932">
        <v>16</v>
      </c>
      <c r="BM73" s="932">
        <v>8</v>
      </c>
      <c r="BN73" s="932">
        <v>0</v>
      </c>
      <c r="BO73" s="932">
        <v>0</v>
      </c>
      <c r="BP73" s="932">
        <v>0</v>
      </c>
      <c r="BQ73" s="932">
        <v>0</v>
      </c>
      <c r="BR73" s="933">
        <v>0.88126099999999996</v>
      </c>
      <c r="BS73" s="932"/>
      <c r="BT73" s="932"/>
      <c r="BU73" s="940" t="s">
        <v>139</v>
      </c>
      <c r="BV73" s="932"/>
      <c r="BW73" s="932">
        <v>0</v>
      </c>
      <c r="BX73" s="932">
        <v>15</v>
      </c>
      <c r="BY73" s="932">
        <v>1</v>
      </c>
      <c r="BZ73" s="932">
        <v>0</v>
      </c>
      <c r="CA73" s="932">
        <v>1</v>
      </c>
      <c r="CB73" s="932">
        <v>0</v>
      </c>
      <c r="CC73" s="932">
        <v>0</v>
      </c>
      <c r="CD73" s="932">
        <v>0</v>
      </c>
      <c r="CE73" s="940">
        <v>0</v>
      </c>
      <c r="CF73" s="941">
        <v>2</v>
      </c>
      <c r="CG73" s="932">
        <v>-0.2</v>
      </c>
      <c r="CH73" s="932">
        <v>1.6</v>
      </c>
      <c r="CI73" s="932">
        <v>1.5</v>
      </c>
      <c r="CJ73" s="942">
        <v>3.4090909090909088E-2</v>
      </c>
      <c r="CK73" s="942">
        <v>0.10424307941777906</v>
      </c>
      <c r="CL73" s="932">
        <v>14.8</v>
      </c>
      <c r="CM73" s="932">
        <v>17.5</v>
      </c>
      <c r="CN73" s="932">
        <v>-0.5</v>
      </c>
      <c r="CO73" s="932">
        <v>-0.8</v>
      </c>
      <c r="CP73" s="932">
        <v>1</v>
      </c>
      <c r="CQ73" s="932">
        <v>0</v>
      </c>
      <c r="CR73" s="932">
        <v>0.30000000000000004</v>
      </c>
      <c r="CS73" s="943">
        <v>6.8181818181818196E-3</v>
      </c>
      <c r="CT73" s="943">
        <v>2.084861588355582E-2</v>
      </c>
      <c r="CU73" s="932"/>
      <c r="CV73" s="932"/>
      <c r="CW73" s="932"/>
      <c r="CX73" s="932">
        <v>2</v>
      </c>
      <c r="CY73" s="932" t="s">
        <v>531</v>
      </c>
      <c r="CZ73" s="932">
        <v>870000</v>
      </c>
      <c r="DA73" s="932"/>
      <c r="DB73" s="944">
        <v>-1.2278048780487805</v>
      </c>
    </row>
    <row r="74" spans="1:106" x14ac:dyDescent="0.25">
      <c r="A74" s="945">
        <v>42</v>
      </c>
      <c r="B74" s="945" t="s">
        <v>532</v>
      </c>
      <c r="C74" s="945" t="s">
        <v>486</v>
      </c>
      <c r="D74" s="945" t="s">
        <v>487</v>
      </c>
      <c r="E74" s="945" t="s">
        <v>106</v>
      </c>
      <c r="F74" s="945">
        <v>74</v>
      </c>
      <c r="G74" s="945">
        <v>189</v>
      </c>
      <c r="H74" s="945" t="s">
        <v>117</v>
      </c>
      <c r="I74" s="945">
        <v>2010</v>
      </c>
      <c r="J74" s="945">
        <v>1</v>
      </c>
      <c r="K74" s="945">
        <v>25</v>
      </c>
      <c r="L74" s="945" t="s">
        <v>108</v>
      </c>
      <c r="M74" s="945">
        <v>22</v>
      </c>
      <c r="N74" s="945" t="s">
        <v>533</v>
      </c>
      <c r="O74" s="947" t="s">
        <v>534</v>
      </c>
      <c r="P74" s="947" t="s">
        <v>535</v>
      </c>
      <c r="Q74" s="945" t="s">
        <v>146</v>
      </c>
      <c r="R74" s="945"/>
      <c r="S74" s="945"/>
      <c r="T74" s="947" t="s">
        <v>238</v>
      </c>
      <c r="U74" s="945">
        <v>16</v>
      </c>
      <c r="V74" s="945">
        <v>4</v>
      </c>
      <c r="W74" s="945">
        <v>2</v>
      </c>
      <c r="X74" s="945">
        <v>6</v>
      </c>
      <c r="Y74" s="1298">
        <f t="shared" si="1"/>
        <v>0.375</v>
      </c>
      <c r="Z74" s="1298" t="s">
        <v>668</v>
      </c>
      <c r="AA74" s="1298">
        <f>30/57</f>
        <v>0.52631578947368418</v>
      </c>
      <c r="AB74" s="945">
        <v>0</v>
      </c>
      <c r="AC74" s="945">
        <v>23</v>
      </c>
      <c r="AD74" s="945">
        <v>4</v>
      </c>
      <c r="AE74" s="945">
        <v>6</v>
      </c>
      <c r="AF74" s="948">
        <v>0.17391304347826086</v>
      </c>
      <c r="AG74" s="948">
        <v>0.12121212121212122</v>
      </c>
      <c r="AH74" s="949">
        <v>27.1</v>
      </c>
      <c r="AI74" s="950">
        <v>9</v>
      </c>
      <c r="AJ74" s="950">
        <v>6</v>
      </c>
      <c r="AK74" s="950">
        <v>3</v>
      </c>
      <c r="AL74" s="946">
        <v>219.5</v>
      </c>
      <c r="AM74" s="949">
        <v>13.71875</v>
      </c>
      <c r="AN74" s="945">
        <v>307</v>
      </c>
      <c r="AO74" s="949">
        <v>19.1875</v>
      </c>
      <c r="AP74" s="951">
        <v>0.71498371335504884</v>
      </c>
      <c r="AQ74" s="950">
        <v>31.333333</v>
      </c>
      <c r="AR74" s="951">
        <v>8.5649201822323455</v>
      </c>
      <c r="AS74" s="948">
        <v>0.10526315789473684</v>
      </c>
      <c r="AT74" s="948">
        <v>5.2631578947368418E-2</v>
      </c>
      <c r="AU74" s="948">
        <v>0.15789473684210525</v>
      </c>
      <c r="AV74" s="945">
        <v>2</v>
      </c>
      <c r="AW74" s="945">
        <v>6</v>
      </c>
      <c r="AX74" s="952">
        <v>0.25</v>
      </c>
      <c r="AY74" s="945">
        <v>0.8</v>
      </c>
      <c r="AZ74" s="945">
        <v>18</v>
      </c>
      <c r="BA74" s="945">
        <v>32</v>
      </c>
      <c r="BB74" s="945">
        <v>11</v>
      </c>
      <c r="BC74" s="945">
        <v>4</v>
      </c>
      <c r="BD74" s="945">
        <v>0</v>
      </c>
      <c r="BE74" s="945">
        <v>9</v>
      </c>
      <c r="BF74" s="946">
        <v>4.9202733485193626</v>
      </c>
      <c r="BG74" s="949">
        <v>8.7471526195899774</v>
      </c>
      <c r="BH74" s="949">
        <v>3.0068337129840548</v>
      </c>
      <c r="BI74" s="949">
        <v>1.0933940774487472</v>
      </c>
      <c r="BJ74" s="949">
        <v>0</v>
      </c>
      <c r="BK74" s="949">
        <v>2.4601366742596813</v>
      </c>
      <c r="BL74" s="945">
        <v>10</v>
      </c>
      <c r="BM74" s="945">
        <v>5</v>
      </c>
      <c r="BN74" s="945">
        <v>0</v>
      </c>
      <c r="BO74" s="945">
        <v>0</v>
      </c>
      <c r="BP74" s="945">
        <v>0</v>
      </c>
      <c r="BQ74" s="945">
        <v>0</v>
      </c>
      <c r="BR74" s="946">
        <v>-2.4088829999999999</v>
      </c>
      <c r="BS74" s="945"/>
      <c r="BT74" s="945"/>
      <c r="BU74" s="953" t="s">
        <v>139</v>
      </c>
      <c r="BV74" s="945"/>
      <c r="BW74" s="945">
        <v>1</v>
      </c>
      <c r="BX74" s="945">
        <v>2</v>
      </c>
      <c r="BY74" s="945">
        <v>0</v>
      </c>
      <c r="BZ74" s="945">
        <v>0</v>
      </c>
      <c r="CA74" s="945">
        <v>0</v>
      </c>
      <c r="CB74" s="945">
        <v>0</v>
      </c>
      <c r="CC74" s="945">
        <v>0</v>
      </c>
      <c r="CD74" s="945">
        <v>0</v>
      </c>
      <c r="CE74" s="953">
        <v>0</v>
      </c>
      <c r="CF74" s="954">
        <v>5</v>
      </c>
      <c r="CG74" s="945">
        <v>0.5</v>
      </c>
      <c r="CH74" s="945">
        <v>0.2</v>
      </c>
      <c r="CI74" s="945">
        <v>0.8</v>
      </c>
      <c r="CJ74" s="955">
        <v>0.05</v>
      </c>
      <c r="CK74" s="955">
        <v>0.21867881548974943</v>
      </c>
      <c r="CL74" s="945">
        <v>3.5</v>
      </c>
      <c r="CM74" s="945">
        <v>4</v>
      </c>
      <c r="CN74" s="945">
        <v>1.2</v>
      </c>
      <c r="CO74" s="945">
        <v>1.3</v>
      </c>
      <c r="CP74" s="945">
        <v>0.5</v>
      </c>
      <c r="CQ74" s="945">
        <v>0</v>
      </c>
      <c r="CR74" s="945">
        <v>1.8</v>
      </c>
      <c r="CS74" s="956">
        <v>0.1125</v>
      </c>
      <c r="CT74" s="956">
        <v>0.49202733485193628</v>
      </c>
      <c r="CU74" s="945"/>
      <c r="CV74" s="945"/>
      <c r="CW74" s="945"/>
      <c r="CX74" s="945"/>
      <c r="CY74" s="945"/>
      <c r="CZ74" s="945">
        <v>1070000</v>
      </c>
      <c r="DA74" s="945"/>
      <c r="DB74" s="957">
        <v>-7.9024390243902287E-2</v>
      </c>
    </row>
    <row r="75" spans="1:106" x14ac:dyDescent="0.25">
      <c r="A75" s="958">
        <v>46</v>
      </c>
      <c r="B75" s="958" t="s">
        <v>536</v>
      </c>
      <c r="C75" s="958" t="s">
        <v>537</v>
      </c>
      <c r="D75" s="958"/>
      <c r="E75" s="958" t="s">
        <v>538</v>
      </c>
      <c r="F75" s="958">
        <v>75</v>
      </c>
      <c r="G75" s="958">
        <v>202</v>
      </c>
      <c r="H75" s="958" t="s">
        <v>117</v>
      </c>
      <c r="I75" s="958">
        <v>2011</v>
      </c>
      <c r="J75" s="958">
        <v>1</v>
      </c>
      <c r="K75" s="958">
        <v>29</v>
      </c>
      <c r="L75" s="958" t="s">
        <v>108</v>
      </c>
      <c r="M75" s="958">
        <v>20</v>
      </c>
      <c r="N75" s="958" t="s">
        <v>539</v>
      </c>
      <c r="O75" s="960" t="s">
        <v>540</v>
      </c>
      <c r="P75" s="960" t="s">
        <v>541</v>
      </c>
      <c r="Q75" s="958" t="s">
        <v>386</v>
      </c>
      <c r="R75" s="958"/>
      <c r="S75" s="958"/>
      <c r="T75" s="960" t="s">
        <v>180</v>
      </c>
      <c r="U75" s="958">
        <v>17</v>
      </c>
      <c r="V75" s="958">
        <v>3</v>
      </c>
      <c r="W75" s="958">
        <v>3</v>
      </c>
      <c r="X75" s="958">
        <v>6</v>
      </c>
      <c r="Y75" s="1298">
        <f t="shared" si="1"/>
        <v>0.35294117647058826</v>
      </c>
      <c r="Z75" s="1298" t="s">
        <v>673</v>
      </c>
      <c r="AA75" s="1298">
        <f>23/50</f>
        <v>0.46</v>
      </c>
      <c r="AB75" s="958">
        <v>-1</v>
      </c>
      <c r="AC75" s="958">
        <v>30</v>
      </c>
      <c r="AD75" s="958">
        <v>19</v>
      </c>
      <c r="AE75" s="958">
        <v>13</v>
      </c>
      <c r="AF75" s="961">
        <v>0.1</v>
      </c>
      <c r="AG75" s="961">
        <v>4.8387096774193547E-2</v>
      </c>
      <c r="AH75" s="962">
        <v>30.2</v>
      </c>
      <c r="AI75" s="963">
        <v>17</v>
      </c>
      <c r="AJ75" s="963">
        <v>3</v>
      </c>
      <c r="AK75" s="963">
        <v>5</v>
      </c>
      <c r="AL75" s="959">
        <v>265.85000000000002</v>
      </c>
      <c r="AM75" s="962">
        <v>15.638235294117649</v>
      </c>
      <c r="AN75" s="958">
        <v>331</v>
      </c>
      <c r="AO75" s="962">
        <v>19.470588235294116</v>
      </c>
      <c r="AP75" s="964">
        <v>0.80317220543806656</v>
      </c>
      <c r="AQ75" s="963">
        <v>32.5</v>
      </c>
      <c r="AR75" s="964">
        <v>7.3349633251833737</v>
      </c>
      <c r="AS75" s="961">
        <v>0.13043478260869565</v>
      </c>
      <c r="AT75" s="961">
        <v>0.13043478260869565</v>
      </c>
      <c r="AU75" s="961">
        <v>0.2608695652173913</v>
      </c>
      <c r="AV75" s="958">
        <v>0</v>
      </c>
      <c r="AW75" s="958">
        <v>1</v>
      </c>
      <c r="AX75" s="965">
        <v>0</v>
      </c>
      <c r="AY75" s="958">
        <v>0.1</v>
      </c>
      <c r="AZ75" s="958">
        <v>4</v>
      </c>
      <c r="BA75" s="958">
        <v>7</v>
      </c>
      <c r="BB75" s="958">
        <v>6</v>
      </c>
      <c r="BC75" s="958">
        <v>19</v>
      </c>
      <c r="BD75" s="958">
        <v>7</v>
      </c>
      <c r="BE75" s="958">
        <v>8</v>
      </c>
      <c r="BF75" s="959">
        <v>0.90276471694564597</v>
      </c>
      <c r="BG75" s="962">
        <v>1.5798382546548804</v>
      </c>
      <c r="BH75" s="962">
        <v>1.354147075418469</v>
      </c>
      <c r="BI75" s="962">
        <v>4.288132405491818</v>
      </c>
      <c r="BJ75" s="962">
        <v>1.5798382546548804</v>
      </c>
      <c r="BK75" s="962">
        <v>1.8055294338912919</v>
      </c>
      <c r="BL75" s="958">
        <v>10</v>
      </c>
      <c r="BM75" s="958">
        <v>5</v>
      </c>
      <c r="BN75" s="958">
        <v>0</v>
      </c>
      <c r="BO75" s="958">
        <v>0</v>
      </c>
      <c r="BP75" s="958">
        <v>0</v>
      </c>
      <c r="BQ75" s="958">
        <v>0</v>
      </c>
      <c r="BR75" s="959">
        <v>-4.3638000000000003</v>
      </c>
      <c r="BS75" s="958">
        <v>2</v>
      </c>
      <c r="BT75" s="958">
        <v>1</v>
      </c>
      <c r="BU75" s="966">
        <v>0.5</v>
      </c>
      <c r="BV75" s="958">
        <v>1</v>
      </c>
      <c r="BW75" s="958">
        <v>1</v>
      </c>
      <c r="BX75" s="958">
        <v>3</v>
      </c>
      <c r="BY75" s="958">
        <v>0</v>
      </c>
      <c r="BZ75" s="958">
        <v>0</v>
      </c>
      <c r="CA75" s="958">
        <v>1</v>
      </c>
      <c r="CB75" s="958">
        <v>0</v>
      </c>
      <c r="CC75" s="958">
        <v>0</v>
      </c>
      <c r="CD75" s="958">
        <v>0</v>
      </c>
      <c r="CE75" s="966">
        <v>0</v>
      </c>
      <c r="CF75" s="967">
        <v>4</v>
      </c>
      <c r="CG75" s="958">
        <v>0.30000000000000004</v>
      </c>
      <c r="CH75" s="958">
        <v>0.30000000000000004</v>
      </c>
      <c r="CI75" s="958">
        <v>0.60000000000000009</v>
      </c>
      <c r="CJ75" s="968">
        <v>3.529411764705883E-2</v>
      </c>
      <c r="CK75" s="968">
        <v>0.13541470754184692</v>
      </c>
      <c r="CL75" s="958">
        <v>6.4</v>
      </c>
      <c r="CM75" s="958">
        <v>5.4</v>
      </c>
      <c r="CN75" s="958">
        <v>0.30000000000000004</v>
      </c>
      <c r="CO75" s="958">
        <v>-0.30000000000000004</v>
      </c>
      <c r="CP75" s="958">
        <v>0.60000000000000009</v>
      </c>
      <c r="CQ75" s="958">
        <v>0.30000000000000004</v>
      </c>
      <c r="CR75" s="958">
        <v>0.60000000000000009</v>
      </c>
      <c r="CS75" s="969">
        <v>3.529411764705883E-2</v>
      </c>
      <c r="CT75" s="969">
        <v>0.13541470754184692</v>
      </c>
      <c r="CU75" s="958"/>
      <c r="CV75" s="958"/>
      <c r="CW75" s="958"/>
      <c r="CX75" s="958"/>
      <c r="CY75" s="958"/>
      <c r="CZ75" s="958">
        <v>863333</v>
      </c>
      <c r="DA75" s="958"/>
      <c r="DB75" s="970">
        <v>-0.91609697560975589</v>
      </c>
    </row>
    <row r="76" spans="1:106" x14ac:dyDescent="0.25">
      <c r="A76" s="971">
        <v>68</v>
      </c>
      <c r="B76" s="971" t="s">
        <v>542</v>
      </c>
      <c r="C76" s="971" t="s">
        <v>182</v>
      </c>
      <c r="D76" s="971" t="s">
        <v>168</v>
      </c>
      <c r="E76" s="971" t="s">
        <v>106</v>
      </c>
      <c r="F76" s="971">
        <v>72</v>
      </c>
      <c r="G76" s="971">
        <v>185</v>
      </c>
      <c r="H76" s="971" t="s">
        <v>117</v>
      </c>
      <c r="I76" s="971">
        <v>2009</v>
      </c>
      <c r="J76" s="971">
        <v>5</v>
      </c>
      <c r="K76" s="971">
        <v>130</v>
      </c>
      <c r="L76" s="971" t="s">
        <v>108</v>
      </c>
      <c r="M76" s="971">
        <v>24</v>
      </c>
      <c r="N76" s="971" t="s">
        <v>543</v>
      </c>
      <c r="O76" s="973" t="s">
        <v>544</v>
      </c>
      <c r="P76" s="973" t="s">
        <v>545</v>
      </c>
      <c r="Q76" s="971" t="s">
        <v>465</v>
      </c>
      <c r="R76" s="971"/>
      <c r="S76" s="971"/>
      <c r="T76" s="973" t="s">
        <v>155</v>
      </c>
      <c r="U76" s="971">
        <v>25</v>
      </c>
      <c r="V76" s="971">
        <v>3</v>
      </c>
      <c r="W76" s="971">
        <v>3</v>
      </c>
      <c r="X76" s="971">
        <v>6</v>
      </c>
      <c r="Y76" s="1298">
        <f t="shared" si="1"/>
        <v>0.24</v>
      </c>
      <c r="Z76" s="1298" t="s">
        <v>668</v>
      </c>
      <c r="AA76" s="1298">
        <f>28/41</f>
        <v>0.68292682926829273</v>
      </c>
      <c r="AB76" s="971">
        <v>-2</v>
      </c>
      <c r="AC76" s="971">
        <v>61</v>
      </c>
      <c r="AD76" s="971">
        <v>26</v>
      </c>
      <c r="AE76" s="971">
        <v>31</v>
      </c>
      <c r="AF76" s="974">
        <v>4.9180327868852458E-2</v>
      </c>
      <c r="AG76" s="974">
        <v>2.5423728813559324E-2</v>
      </c>
      <c r="AH76" s="975">
        <v>35.1</v>
      </c>
      <c r="AI76" s="976">
        <v>28</v>
      </c>
      <c r="AJ76" s="976">
        <v>12</v>
      </c>
      <c r="AK76" s="976">
        <v>11</v>
      </c>
      <c r="AL76" s="972">
        <v>329.63333333330002</v>
      </c>
      <c r="AM76" s="975">
        <v>13.185333333332</v>
      </c>
      <c r="AN76" s="971">
        <v>471</v>
      </c>
      <c r="AO76" s="975">
        <v>18.84</v>
      </c>
      <c r="AP76" s="977">
        <v>0.69985845718322726</v>
      </c>
      <c r="AQ76" s="976">
        <v>29.285713999999999</v>
      </c>
      <c r="AR76" s="977">
        <v>5.3305981595717791</v>
      </c>
      <c r="AS76" s="974">
        <v>5.7692307692307696E-2</v>
      </c>
      <c r="AT76" s="974">
        <v>5.7692307692307696E-2</v>
      </c>
      <c r="AU76" s="974">
        <v>0.11538461538461539</v>
      </c>
      <c r="AV76" s="971">
        <v>6</v>
      </c>
      <c r="AW76" s="971">
        <v>3</v>
      </c>
      <c r="AX76" s="978">
        <v>0.66666666666666663</v>
      </c>
      <c r="AY76" s="971">
        <v>0.5</v>
      </c>
      <c r="AZ76" s="971">
        <v>20</v>
      </c>
      <c r="BA76" s="971">
        <v>18</v>
      </c>
      <c r="BB76" s="971">
        <v>7</v>
      </c>
      <c r="BC76" s="971">
        <v>26</v>
      </c>
      <c r="BD76" s="971">
        <v>9</v>
      </c>
      <c r="BE76" s="971">
        <v>18</v>
      </c>
      <c r="BF76" s="972">
        <v>3.6404085347359327</v>
      </c>
      <c r="BG76" s="975">
        <v>3.2763676812623395</v>
      </c>
      <c r="BH76" s="975">
        <v>1.2741429871575765</v>
      </c>
      <c r="BI76" s="975">
        <v>4.7325310951567126</v>
      </c>
      <c r="BJ76" s="975">
        <v>1.6381838406311697</v>
      </c>
      <c r="BK76" s="975">
        <v>3.2763676812623395</v>
      </c>
      <c r="BL76" s="971">
        <v>2</v>
      </c>
      <c r="BM76" s="971">
        <v>1</v>
      </c>
      <c r="BN76" s="971">
        <v>0</v>
      </c>
      <c r="BO76" s="971">
        <v>0</v>
      </c>
      <c r="BP76" s="971">
        <v>0</v>
      </c>
      <c r="BQ76" s="971">
        <v>0</v>
      </c>
      <c r="BR76" s="972">
        <v>3.636536</v>
      </c>
      <c r="BS76" s="971"/>
      <c r="BT76" s="971"/>
      <c r="BU76" s="979" t="s">
        <v>139</v>
      </c>
      <c r="BV76" s="971"/>
      <c r="BW76" s="971">
        <v>2</v>
      </c>
      <c r="BX76" s="971">
        <v>8</v>
      </c>
      <c r="BY76" s="971">
        <v>0</v>
      </c>
      <c r="BZ76" s="971">
        <v>0</v>
      </c>
      <c r="CA76" s="971">
        <v>0</v>
      </c>
      <c r="CB76" s="971">
        <v>0</v>
      </c>
      <c r="CC76" s="971">
        <v>0</v>
      </c>
      <c r="CD76" s="971">
        <v>0</v>
      </c>
      <c r="CE76" s="979">
        <v>0</v>
      </c>
      <c r="CF76" s="980">
        <v>2</v>
      </c>
      <c r="CG76" s="971">
        <v>0.1</v>
      </c>
      <c r="CH76" s="971">
        <v>0.2</v>
      </c>
      <c r="CI76" s="971">
        <v>0.30000000000000004</v>
      </c>
      <c r="CJ76" s="981">
        <v>1.2000000000000002E-2</v>
      </c>
      <c r="CK76" s="981">
        <v>5.4606128021039001E-2</v>
      </c>
      <c r="CL76" s="971">
        <v>6</v>
      </c>
      <c r="CM76" s="971">
        <v>4.0999999999999996</v>
      </c>
      <c r="CN76" s="971">
        <v>-0.2</v>
      </c>
      <c r="CO76" s="971">
        <v>-0.1</v>
      </c>
      <c r="CP76" s="971">
        <v>-0.2</v>
      </c>
      <c r="CQ76" s="971">
        <v>0</v>
      </c>
      <c r="CR76" s="971">
        <v>-0.30000000000000004</v>
      </c>
      <c r="CS76" s="982">
        <v>-1.2000000000000002E-2</v>
      </c>
      <c r="CT76" s="982">
        <v>-5.4606128021039001E-2</v>
      </c>
      <c r="CU76" s="971"/>
      <c r="CV76" s="971"/>
      <c r="CW76" s="971"/>
      <c r="CX76" s="971"/>
      <c r="CY76" s="971"/>
      <c r="CZ76" s="971">
        <v>660000</v>
      </c>
      <c r="DA76" s="971"/>
      <c r="DB76" s="983">
        <v>-1.4590243902439024</v>
      </c>
    </row>
    <row r="77" spans="1:106" x14ac:dyDescent="0.25">
      <c r="A77" s="984">
        <v>88</v>
      </c>
      <c r="B77" s="984" t="s">
        <v>546</v>
      </c>
      <c r="C77" s="984" t="s">
        <v>547</v>
      </c>
      <c r="D77" s="984" t="s">
        <v>142</v>
      </c>
      <c r="E77" s="984" t="s">
        <v>127</v>
      </c>
      <c r="F77" s="984">
        <v>72</v>
      </c>
      <c r="G77" s="984">
        <v>194</v>
      </c>
      <c r="H77" s="984" t="s">
        <v>117</v>
      </c>
      <c r="I77" s="984"/>
      <c r="J77" s="984"/>
      <c r="K77" s="984"/>
      <c r="L77" s="984" t="s">
        <v>108</v>
      </c>
      <c r="M77" s="984">
        <v>22</v>
      </c>
      <c r="N77" s="984" t="s">
        <v>548</v>
      </c>
      <c r="O77" s="986" t="s">
        <v>549</v>
      </c>
      <c r="P77" s="986" t="s">
        <v>550</v>
      </c>
      <c r="Q77" s="984" t="s">
        <v>454</v>
      </c>
      <c r="R77" s="984"/>
      <c r="S77" s="984"/>
      <c r="T77" s="986" t="s">
        <v>138</v>
      </c>
      <c r="U77" s="984">
        <v>29</v>
      </c>
      <c r="V77" s="984">
        <v>2</v>
      </c>
      <c r="W77" s="984">
        <v>4</v>
      </c>
      <c r="X77" s="984">
        <v>6</v>
      </c>
      <c r="Y77" s="1298">
        <f t="shared" si="1"/>
        <v>0.20689655172413793</v>
      </c>
      <c r="Z77" s="1298" t="s">
        <v>669</v>
      </c>
      <c r="AA77" s="1298">
        <f>32/40</f>
        <v>0.8</v>
      </c>
      <c r="AB77" s="984">
        <v>4</v>
      </c>
      <c r="AC77" s="984">
        <v>41</v>
      </c>
      <c r="AD77" s="984">
        <v>13</v>
      </c>
      <c r="AE77" s="984">
        <v>23</v>
      </c>
      <c r="AF77" s="987">
        <v>4.878048780487805E-2</v>
      </c>
      <c r="AG77" s="987">
        <v>2.5974025974025976E-2</v>
      </c>
      <c r="AH77" s="988">
        <v>49.6</v>
      </c>
      <c r="AI77" s="989">
        <v>20</v>
      </c>
      <c r="AJ77" s="989">
        <v>9</v>
      </c>
      <c r="AK77" s="989">
        <v>12</v>
      </c>
      <c r="AL77" s="985">
        <v>542.13333333330002</v>
      </c>
      <c r="AM77" s="988">
        <v>18.694252873562071</v>
      </c>
      <c r="AN77" s="984">
        <v>607</v>
      </c>
      <c r="AO77" s="988">
        <v>20.931034482758619</v>
      </c>
      <c r="AP77" s="990">
        <v>0.89313563975831967</v>
      </c>
      <c r="AQ77" s="989">
        <v>10.333333</v>
      </c>
      <c r="AR77" s="990">
        <v>1.143630066404399</v>
      </c>
      <c r="AS77" s="987">
        <v>6.8965517241379309E-2</v>
      </c>
      <c r="AT77" s="987">
        <v>0.13793103448275862</v>
      </c>
      <c r="AU77" s="987">
        <v>0.20689655172413793</v>
      </c>
      <c r="AV77" s="984">
        <v>0</v>
      </c>
      <c r="AW77" s="984">
        <v>0</v>
      </c>
      <c r="AX77" s="991">
        <v>0</v>
      </c>
      <c r="AY77" s="984">
        <v>0</v>
      </c>
      <c r="AZ77" s="984">
        <v>37</v>
      </c>
      <c r="BA77" s="984">
        <v>18</v>
      </c>
      <c r="BB77" s="984">
        <v>35</v>
      </c>
      <c r="BC77" s="984">
        <v>13</v>
      </c>
      <c r="BD77" s="984">
        <v>21</v>
      </c>
      <c r="BE77" s="984">
        <v>10</v>
      </c>
      <c r="BF77" s="985">
        <v>4.094933595671673</v>
      </c>
      <c r="BG77" s="988">
        <v>1.9921298573537871</v>
      </c>
      <c r="BH77" s="988">
        <v>3.873585833743475</v>
      </c>
      <c r="BI77" s="988">
        <v>1.4387604525332904</v>
      </c>
      <c r="BJ77" s="988">
        <v>2.3241515002460846</v>
      </c>
      <c r="BK77" s="988">
        <v>1.1067388096409927</v>
      </c>
      <c r="BL77" s="984">
        <v>6</v>
      </c>
      <c r="BM77" s="984">
        <v>3</v>
      </c>
      <c r="BN77" s="984">
        <v>0</v>
      </c>
      <c r="BO77" s="984">
        <v>0</v>
      </c>
      <c r="BP77" s="984">
        <v>0</v>
      </c>
      <c r="BQ77" s="984">
        <v>0</v>
      </c>
      <c r="BR77" s="985">
        <v>7.5960669999999997</v>
      </c>
      <c r="BS77" s="984"/>
      <c r="BT77" s="984"/>
      <c r="BU77" s="992" t="s">
        <v>139</v>
      </c>
      <c r="BV77" s="984"/>
      <c r="BW77" s="984">
        <v>0</v>
      </c>
      <c r="BX77" s="984">
        <v>11</v>
      </c>
      <c r="BY77" s="984">
        <v>0</v>
      </c>
      <c r="BZ77" s="984">
        <v>1</v>
      </c>
      <c r="CA77" s="984">
        <v>0</v>
      </c>
      <c r="CB77" s="984">
        <v>0</v>
      </c>
      <c r="CC77" s="984">
        <v>0</v>
      </c>
      <c r="CD77" s="984">
        <v>0</v>
      </c>
      <c r="CE77" s="992">
        <v>0</v>
      </c>
      <c r="CF77" s="993">
        <v>3</v>
      </c>
      <c r="CG77" s="984">
        <v>0.2</v>
      </c>
      <c r="CH77" s="984">
        <v>1.5</v>
      </c>
      <c r="CI77" s="984">
        <v>1.7000000000000002</v>
      </c>
      <c r="CJ77" s="994">
        <v>5.862068965517242E-2</v>
      </c>
      <c r="CK77" s="994">
        <v>0.18814559763896879</v>
      </c>
      <c r="CL77" s="984">
        <v>9.6</v>
      </c>
      <c r="CM77" s="984">
        <v>11.3</v>
      </c>
      <c r="CN77" s="984">
        <v>5.3</v>
      </c>
      <c r="CO77" s="984">
        <v>0.2</v>
      </c>
      <c r="CP77" s="984">
        <v>1.5</v>
      </c>
      <c r="CQ77" s="984">
        <v>0</v>
      </c>
      <c r="CR77" s="984">
        <v>1.7000000000000002</v>
      </c>
      <c r="CS77" s="995">
        <v>5.862068965517242E-2</v>
      </c>
      <c r="CT77" s="995">
        <v>0.18814559763896879</v>
      </c>
      <c r="CU77" s="984"/>
      <c r="CV77" s="984"/>
      <c r="CW77" s="984"/>
      <c r="CX77" s="984"/>
      <c r="CY77" s="984"/>
      <c r="CZ77" s="984">
        <v>1350000</v>
      </c>
      <c r="DA77" s="984"/>
      <c r="DB77" s="996">
        <v>-0.67073170731707288</v>
      </c>
    </row>
    <row r="78" spans="1:106" x14ac:dyDescent="0.25">
      <c r="A78" s="997">
        <v>86</v>
      </c>
      <c r="B78" s="997" t="s">
        <v>551</v>
      </c>
      <c r="C78" s="997" t="s">
        <v>552</v>
      </c>
      <c r="D78" s="997" t="s">
        <v>274</v>
      </c>
      <c r="E78" s="997" t="s">
        <v>127</v>
      </c>
      <c r="F78" s="997">
        <v>74</v>
      </c>
      <c r="G78" s="997">
        <v>210</v>
      </c>
      <c r="H78" s="997" t="s">
        <v>107</v>
      </c>
      <c r="I78" s="997"/>
      <c r="J78" s="997"/>
      <c r="K78" s="997"/>
      <c r="L78" s="997" t="s">
        <v>108</v>
      </c>
      <c r="M78" s="997">
        <v>26</v>
      </c>
      <c r="N78" s="997" t="s">
        <v>553</v>
      </c>
      <c r="O78" s="999" t="s">
        <v>554</v>
      </c>
      <c r="P78" s="999" t="s">
        <v>555</v>
      </c>
      <c r="Q78" s="997" t="s">
        <v>137</v>
      </c>
      <c r="R78" s="997"/>
      <c r="S78" s="997"/>
      <c r="T78" s="999" t="s">
        <v>138</v>
      </c>
      <c r="U78" s="997">
        <v>47</v>
      </c>
      <c r="V78" s="997">
        <v>1</v>
      </c>
      <c r="W78" s="997">
        <v>5</v>
      </c>
      <c r="X78" s="997">
        <v>6</v>
      </c>
      <c r="Y78" s="1298">
        <f t="shared" si="1"/>
        <v>0.1276595744680851</v>
      </c>
      <c r="Z78" s="1298" t="s">
        <v>668</v>
      </c>
      <c r="AA78" s="1298">
        <f>16/64</f>
        <v>0.25</v>
      </c>
      <c r="AB78" s="997">
        <v>20</v>
      </c>
      <c r="AC78" s="997">
        <v>41</v>
      </c>
      <c r="AD78" s="997">
        <v>20</v>
      </c>
      <c r="AE78" s="997">
        <v>40</v>
      </c>
      <c r="AF78" s="1000">
        <v>2.4390243902439025E-2</v>
      </c>
      <c r="AG78" s="1000">
        <v>9.9009900990099011E-3</v>
      </c>
      <c r="AH78" s="1001">
        <v>54</v>
      </c>
      <c r="AI78" s="1002">
        <v>6</v>
      </c>
      <c r="AJ78" s="1002">
        <v>7</v>
      </c>
      <c r="AK78" s="1002">
        <v>22</v>
      </c>
      <c r="AL78" s="998">
        <v>820.71666666670001</v>
      </c>
      <c r="AM78" s="1001">
        <v>17.462056737589361</v>
      </c>
      <c r="AN78" s="997">
        <v>1082</v>
      </c>
      <c r="AO78" s="1001">
        <v>23.021276595744681</v>
      </c>
      <c r="AP78" s="1003">
        <v>0.75851817621691309</v>
      </c>
      <c r="AQ78" s="1002">
        <v>23.066666999999999</v>
      </c>
      <c r="AR78" s="1003">
        <v>1.6863310764981139</v>
      </c>
      <c r="AS78" s="1000">
        <v>9.0090090090090089E-3</v>
      </c>
      <c r="AT78" s="1000">
        <v>4.5045045045045043E-2</v>
      </c>
      <c r="AU78" s="1000">
        <v>5.405405405405405E-2</v>
      </c>
      <c r="AV78" s="997">
        <v>0</v>
      </c>
      <c r="AW78" s="997">
        <v>0</v>
      </c>
      <c r="AX78" s="1004">
        <v>0</v>
      </c>
      <c r="AY78" s="997">
        <v>0</v>
      </c>
      <c r="AZ78" s="997">
        <v>117</v>
      </c>
      <c r="BA78" s="997">
        <v>103</v>
      </c>
      <c r="BB78" s="997">
        <v>85</v>
      </c>
      <c r="BC78" s="997">
        <v>20</v>
      </c>
      <c r="BD78" s="997">
        <v>8</v>
      </c>
      <c r="BE78" s="997">
        <v>15</v>
      </c>
      <c r="BF78" s="998">
        <v>8.5534999898459247</v>
      </c>
      <c r="BG78" s="1001">
        <v>7.5300042645652159</v>
      </c>
      <c r="BH78" s="1001">
        <v>6.2140811892043049</v>
      </c>
      <c r="BI78" s="1001">
        <v>1.462136750401013</v>
      </c>
      <c r="BJ78" s="1001">
        <v>0.58485470016040508</v>
      </c>
      <c r="BK78" s="1001">
        <v>1.0966025628007596</v>
      </c>
      <c r="BL78" s="997">
        <v>38</v>
      </c>
      <c r="BM78" s="997">
        <v>9</v>
      </c>
      <c r="BN78" s="997">
        <v>4</v>
      </c>
      <c r="BO78" s="997">
        <v>0</v>
      </c>
      <c r="BP78" s="997">
        <v>0</v>
      </c>
      <c r="BQ78" s="997">
        <v>0</v>
      </c>
      <c r="BR78" s="998">
        <v>5.0166079999999997</v>
      </c>
      <c r="BS78" s="997"/>
      <c r="BT78" s="997"/>
      <c r="BU78" s="1005" t="s">
        <v>139</v>
      </c>
      <c r="BV78" s="997"/>
      <c r="BW78" s="997">
        <v>0</v>
      </c>
      <c r="BX78" s="997">
        <v>11</v>
      </c>
      <c r="BY78" s="997">
        <v>0</v>
      </c>
      <c r="BZ78" s="997">
        <v>0</v>
      </c>
      <c r="CA78" s="997">
        <v>1</v>
      </c>
      <c r="CB78" s="997">
        <v>0</v>
      </c>
      <c r="CC78" s="997">
        <v>0</v>
      </c>
      <c r="CD78" s="997">
        <v>0</v>
      </c>
      <c r="CE78" s="1005">
        <v>0</v>
      </c>
      <c r="CF78" s="1006">
        <v>4</v>
      </c>
      <c r="CG78" s="997">
        <v>-0.2</v>
      </c>
      <c r="CH78" s="997">
        <v>3</v>
      </c>
      <c r="CI78" s="997">
        <v>2.8</v>
      </c>
      <c r="CJ78" s="1007">
        <v>5.9574468085106379E-2</v>
      </c>
      <c r="CK78" s="1007">
        <v>0.20469914505614178</v>
      </c>
      <c r="CL78" s="997">
        <v>11.9</v>
      </c>
      <c r="CM78" s="997">
        <v>15.2</v>
      </c>
      <c r="CN78" s="997">
        <v>9.4</v>
      </c>
      <c r="CO78" s="997">
        <v>-0.5</v>
      </c>
      <c r="CP78" s="997">
        <v>3.6</v>
      </c>
      <c r="CQ78" s="997">
        <v>0</v>
      </c>
      <c r="CR78" s="997">
        <v>3.1</v>
      </c>
      <c r="CS78" s="1008">
        <v>6.5957446808510636E-2</v>
      </c>
      <c r="CT78" s="1008">
        <v>0.22663119631215697</v>
      </c>
      <c r="CU78" s="997"/>
      <c r="CV78" s="997"/>
      <c r="CW78" s="997"/>
      <c r="CX78" s="997"/>
      <c r="CY78" s="997"/>
      <c r="CZ78" s="997">
        <v>550000</v>
      </c>
      <c r="DA78" s="997"/>
      <c r="DB78" s="1009">
        <v>2.1341463414634148</v>
      </c>
    </row>
    <row r="79" spans="1:106" x14ac:dyDescent="0.25">
      <c r="A79" s="1010">
        <v>64</v>
      </c>
      <c r="B79" s="1010" t="s">
        <v>556</v>
      </c>
      <c r="C79" s="1010" t="s">
        <v>444</v>
      </c>
      <c r="D79" s="1010" t="s">
        <v>168</v>
      </c>
      <c r="E79" s="1010" t="s">
        <v>106</v>
      </c>
      <c r="F79" s="1010">
        <v>72</v>
      </c>
      <c r="G79" s="1010">
        <v>203</v>
      </c>
      <c r="H79" s="1010" t="s">
        <v>117</v>
      </c>
      <c r="I79" s="1010"/>
      <c r="J79" s="1010"/>
      <c r="K79" s="1010"/>
      <c r="L79" s="1010" t="s">
        <v>108</v>
      </c>
      <c r="M79" s="1010">
        <v>25</v>
      </c>
      <c r="N79" s="1010" t="s">
        <v>557</v>
      </c>
      <c r="O79" s="1012" t="s">
        <v>558</v>
      </c>
      <c r="P79" s="1012" t="s">
        <v>559</v>
      </c>
      <c r="Q79" s="1010" t="s">
        <v>271</v>
      </c>
      <c r="R79" s="1010"/>
      <c r="S79" s="1010"/>
      <c r="T79" s="1012" t="s">
        <v>138</v>
      </c>
      <c r="U79" s="1010">
        <v>50</v>
      </c>
      <c r="V79" s="1010">
        <v>1</v>
      </c>
      <c r="W79" s="1010">
        <v>5</v>
      </c>
      <c r="X79" s="1010">
        <v>6</v>
      </c>
      <c r="Y79" s="1298">
        <f t="shared" si="1"/>
        <v>0.12</v>
      </c>
      <c r="Z79" s="1298" t="s">
        <v>668</v>
      </c>
      <c r="AA79" s="1298">
        <f>26/54</f>
        <v>0.48148148148148145</v>
      </c>
      <c r="AB79" s="1010">
        <v>0</v>
      </c>
      <c r="AC79" s="1010">
        <v>21</v>
      </c>
      <c r="AD79" s="1010">
        <v>10</v>
      </c>
      <c r="AE79" s="1010">
        <v>19</v>
      </c>
      <c r="AF79" s="1013">
        <v>4.7619047619047616E-2</v>
      </c>
      <c r="AG79" s="1013">
        <v>0.02</v>
      </c>
      <c r="AH79" s="1014">
        <v>54.1</v>
      </c>
      <c r="AI79" s="1015">
        <v>8</v>
      </c>
      <c r="AJ79" s="1015">
        <v>2</v>
      </c>
      <c r="AK79" s="1015">
        <v>10</v>
      </c>
      <c r="AL79" s="1011">
        <v>768.21666666670001</v>
      </c>
      <c r="AM79" s="1014">
        <v>15.364333333334001</v>
      </c>
      <c r="AN79" s="1010">
        <v>1041</v>
      </c>
      <c r="AO79" s="1014">
        <v>20.82</v>
      </c>
      <c r="AP79" s="1016">
        <v>0.73796029458856871</v>
      </c>
      <c r="AQ79" s="1015">
        <v>37.200000000000003</v>
      </c>
      <c r="AR79" s="1016">
        <v>2.9054303256458507</v>
      </c>
      <c r="AS79" s="1013">
        <v>1.098901098901099E-2</v>
      </c>
      <c r="AT79" s="1013">
        <v>5.4945054945054944E-2</v>
      </c>
      <c r="AU79" s="1013">
        <v>6.5934065934065936E-2</v>
      </c>
      <c r="AV79" s="1010">
        <v>0</v>
      </c>
      <c r="AW79" s="1010">
        <v>0</v>
      </c>
      <c r="AX79" s="1017">
        <v>0</v>
      </c>
      <c r="AY79" s="1010">
        <v>0</v>
      </c>
      <c r="AZ79" s="1010">
        <v>58</v>
      </c>
      <c r="BA79" s="1010">
        <v>81</v>
      </c>
      <c r="BB79" s="1010">
        <v>79</v>
      </c>
      <c r="BC79" s="1010">
        <v>10</v>
      </c>
      <c r="BD79" s="1010">
        <v>7</v>
      </c>
      <c r="BE79" s="1010">
        <v>14</v>
      </c>
      <c r="BF79" s="1011">
        <v>4.5299720131037455</v>
      </c>
      <c r="BG79" s="1014">
        <v>6.3263402251966099</v>
      </c>
      <c r="BH79" s="1014">
        <v>6.1701342937102739</v>
      </c>
      <c r="BI79" s="1014">
        <v>0.78102965743168018</v>
      </c>
      <c r="BJ79" s="1014">
        <v>0.54672076020217608</v>
      </c>
      <c r="BK79" s="1014">
        <v>1.0934415204043522</v>
      </c>
      <c r="BL79" s="1010">
        <v>23</v>
      </c>
      <c r="BM79" s="1010">
        <v>8</v>
      </c>
      <c r="BN79" s="1010">
        <v>1</v>
      </c>
      <c r="BO79" s="1010">
        <v>0</v>
      </c>
      <c r="BP79" s="1010">
        <v>0</v>
      </c>
      <c r="BQ79" s="1010">
        <v>0</v>
      </c>
      <c r="BR79" s="1011">
        <v>-0.257886</v>
      </c>
      <c r="BS79" s="1010"/>
      <c r="BT79" s="1010"/>
      <c r="BU79" s="1018" t="s">
        <v>139</v>
      </c>
      <c r="BV79" s="1010"/>
      <c r="BW79" s="1010">
        <v>1</v>
      </c>
      <c r="BX79" s="1010">
        <v>9</v>
      </c>
      <c r="BY79" s="1010">
        <v>0</v>
      </c>
      <c r="BZ79" s="1010">
        <v>0</v>
      </c>
      <c r="CA79" s="1010">
        <v>0</v>
      </c>
      <c r="CB79" s="1010">
        <v>0</v>
      </c>
      <c r="CC79" s="1010">
        <v>0</v>
      </c>
      <c r="CD79" s="1010">
        <v>0</v>
      </c>
      <c r="CE79" s="1018">
        <v>0</v>
      </c>
      <c r="CF79" s="1019">
        <v>3</v>
      </c>
      <c r="CG79" s="1010">
        <v>-0.2</v>
      </c>
      <c r="CH79" s="1010">
        <v>1.7000000000000002</v>
      </c>
      <c r="CI79" s="1010">
        <v>1.5</v>
      </c>
      <c r="CJ79" s="1020">
        <v>0.03</v>
      </c>
      <c r="CK79" s="1020">
        <v>0.11715444861475205</v>
      </c>
      <c r="CL79" s="1010">
        <v>12.3</v>
      </c>
      <c r="CM79" s="1010">
        <v>17.399999999999999</v>
      </c>
      <c r="CN79" s="1010">
        <v>2.4</v>
      </c>
      <c r="CO79" s="1010">
        <v>-0.60000000000000009</v>
      </c>
      <c r="CP79" s="1010">
        <v>2.5</v>
      </c>
      <c r="CQ79" s="1010">
        <v>0</v>
      </c>
      <c r="CR79" s="1010">
        <v>1.8</v>
      </c>
      <c r="CS79" s="1021">
        <v>3.6000000000000004E-2</v>
      </c>
      <c r="CT79" s="1021">
        <v>0.14058533833770243</v>
      </c>
      <c r="CU79" s="1010"/>
      <c r="CV79" s="1010"/>
      <c r="CW79" s="1010"/>
      <c r="CX79" s="1010"/>
      <c r="CY79" s="1010"/>
      <c r="CZ79" s="1010">
        <v>666667</v>
      </c>
      <c r="DA79" s="1010"/>
      <c r="DB79" s="1022">
        <v>0.62926770731707315</v>
      </c>
    </row>
    <row r="80" spans="1:106" x14ac:dyDescent="0.25">
      <c r="A80" s="1023">
        <v>58</v>
      </c>
      <c r="B80" s="1023" t="s">
        <v>560</v>
      </c>
      <c r="C80" s="1023" t="s">
        <v>561</v>
      </c>
      <c r="D80" s="1023" t="s">
        <v>562</v>
      </c>
      <c r="E80" s="1023" t="s">
        <v>127</v>
      </c>
      <c r="F80" s="1023">
        <v>71</v>
      </c>
      <c r="G80" s="1023">
        <v>185</v>
      </c>
      <c r="H80" s="1023" t="s">
        <v>107</v>
      </c>
      <c r="I80" s="1023">
        <v>2012</v>
      </c>
      <c r="J80" s="1023">
        <v>5</v>
      </c>
      <c r="K80" s="1023">
        <v>137</v>
      </c>
      <c r="L80" s="1023" t="s">
        <v>108</v>
      </c>
      <c r="M80" s="1023">
        <v>19</v>
      </c>
      <c r="N80" s="1023" t="s">
        <v>563</v>
      </c>
      <c r="O80" s="1025" t="s">
        <v>503</v>
      </c>
      <c r="P80" s="1025" t="s">
        <v>564</v>
      </c>
      <c r="Q80" s="1023" t="s">
        <v>454</v>
      </c>
      <c r="R80" s="1023"/>
      <c r="S80" s="1023"/>
      <c r="T80" s="1025" t="s">
        <v>138</v>
      </c>
      <c r="U80" s="1023">
        <v>34</v>
      </c>
      <c r="V80" s="1023">
        <v>1</v>
      </c>
      <c r="W80" s="1023">
        <v>5</v>
      </c>
      <c r="X80" s="1023">
        <v>6</v>
      </c>
      <c r="Y80" s="1298">
        <f t="shared" si="1"/>
        <v>0.17647058823529413</v>
      </c>
      <c r="Z80" s="1298" t="s">
        <v>670</v>
      </c>
      <c r="AA80" s="1298">
        <f>44/68</f>
        <v>0.6470588235294118</v>
      </c>
      <c r="AB80" s="1023">
        <v>-9</v>
      </c>
      <c r="AC80" s="1023">
        <v>26</v>
      </c>
      <c r="AD80" s="1023">
        <v>16</v>
      </c>
      <c r="AE80" s="1023">
        <v>29</v>
      </c>
      <c r="AF80" s="1026">
        <v>3.8461538461538464E-2</v>
      </c>
      <c r="AG80" s="1026">
        <v>1.4084507042253521E-2</v>
      </c>
      <c r="AH80" s="1027">
        <v>51.7</v>
      </c>
      <c r="AI80" s="1028">
        <v>16</v>
      </c>
      <c r="AJ80" s="1028">
        <v>2</v>
      </c>
      <c r="AK80" s="1028">
        <v>7</v>
      </c>
      <c r="AL80" s="1024">
        <v>543.06666666670003</v>
      </c>
      <c r="AM80" s="1027">
        <v>15.972549019608824</v>
      </c>
      <c r="AN80" s="1023">
        <v>671</v>
      </c>
      <c r="AO80" s="1027">
        <v>19.735294117647058</v>
      </c>
      <c r="AP80" s="1029">
        <v>0.80933929458524589</v>
      </c>
      <c r="AQ80" s="1028">
        <v>0</v>
      </c>
      <c r="AR80" s="1029">
        <v>0</v>
      </c>
      <c r="AS80" s="1026">
        <v>2.2222222222222223E-2</v>
      </c>
      <c r="AT80" s="1026">
        <v>0.1111111111111111</v>
      </c>
      <c r="AU80" s="1026">
        <v>0.13333333333333333</v>
      </c>
      <c r="AV80" s="1023">
        <v>0</v>
      </c>
      <c r="AW80" s="1023">
        <v>0</v>
      </c>
      <c r="AX80" s="1030">
        <v>0</v>
      </c>
      <c r="AY80" s="1023">
        <v>0</v>
      </c>
      <c r="AZ80" s="1023">
        <v>99</v>
      </c>
      <c r="BA80" s="1023">
        <v>25</v>
      </c>
      <c r="BB80" s="1023">
        <v>56</v>
      </c>
      <c r="BC80" s="1023">
        <v>16</v>
      </c>
      <c r="BD80" s="1023">
        <v>18</v>
      </c>
      <c r="BE80" s="1023">
        <v>6</v>
      </c>
      <c r="BF80" s="1024">
        <v>10.937883623863801</v>
      </c>
      <c r="BG80" s="1027">
        <v>2.7620918242080306</v>
      </c>
      <c r="BH80" s="1027">
        <v>6.1870856862259886</v>
      </c>
      <c r="BI80" s="1027">
        <v>1.7677387674931397</v>
      </c>
      <c r="BJ80" s="1027">
        <v>1.9887061134297821</v>
      </c>
      <c r="BK80" s="1027">
        <v>0.6629020378099274</v>
      </c>
      <c r="BL80" s="1023">
        <v>23</v>
      </c>
      <c r="BM80" s="1023">
        <v>9</v>
      </c>
      <c r="BN80" s="1023">
        <v>1</v>
      </c>
      <c r="BO80" s="1023">
        <v>0</v>
      </c>
      <c r="BP80" s="1023">
        <v>0</v>
      </c>
      <c r="BQ80" s="1023">
        <v>0</v>
      </c>
      <c r="BR80" s="1024">
        <v>0.57871099999999998</v>
      </c>
      <c r="BS80" s="1023"/>
      <c r="BT80" s="1023"/>
      <c r="BU80" s="1031" t="s">
        <v>139</v>
      </c>
      <c r="BV80" s="1023"/>
      <c r="BW80" s="1023">
        <v>0</v>
      </c>
      <c r="BX80" s="1023">
        <v>8</v>
      </c>
      <c r="BY80" s="1023">
        <v>0</v>
      </c>
      <c r="BZ80" s="1023">
        <v>0</v>
      </c>
      <c r="CA80" s="1023">
        <v>0</v>
      </c>
      <c r="CB80" s="1023">
        <v>0</v>
      </c>
      <c r="CC80" s="1023">
        <v>0</v>
      </c>
      <c r="CD80" s="1023">
        <v>0</v>
      </c>
      <c r="CE80" s="1031">
        <v>0</v>
      </c>
      <c r="CF80" s="1032">
        <v>2</v>
      </c>
      <c r="CG80" s="1023">
        <v>0.1</v>
      </c>
      <c r="CH80" s="1023">
        <v>0.4</v>
      </c>
      <c r="CI80" s="1023">
        <v>0.5</v>
      </c>
      <c r="CJ80" s="1033">
        <v>1.4705882352941176E-2</v>
      </c>
      <c r="CK80" s="1033">
        <v>5.5241836484160617E-2</v>
      </c>
      <c r="CL80" s="1023">
        <v>9.9</v>
      </c>
      <c r="CM80" s="1023">
        <v>13.4</v>
      </c>
      <c r="CN80" s="1023">
        <v>-8.1999999999999993</v>
      </c>
      <c r="CO80" s="1023">
        <v>0</v>
      </c>
      <c r="CP80" s="1023">
        <v>0</v>
      </c>
      <c r="CQ80" s="1023">
        <v>0</v>
      </c>
      <c r="CR80" s="1023">
        <v>-0.1</v>
      </c>
      <c r="CS80" s="1034">
        <v>-2.9411764705882353E-3</v>
      </c>
      <c r="CT80" s="1034">
        <v>-1.1048367296832123E-2</v>
      </c>
      <c r="CU80" s="1023"/>
      <c r="CV80" s="1023"/>
      <c r="CW80" s="1023"/>
      <c r="CX80" s="1023"/>
      <c r="CY80" s="1023"/>
      <c r="CZ80" s="1023">
        <v>783333</v>
      </c>
      <c r="DA80" s="1023"/>
      <c r="DB80" s="1035">
        <v>-1.4756091707317074</v>
      </c>
    </row>
    <row r="81" spans="1:106" x14ac:dyDescent="0.25">
      <c r="A81" s="1036">
        <v>85</v>
      </c>
      <c r="B81" s="1036" t="s">
        <v>565</v>
      </c>
      <c r="C81" s="1036" t="s">
        <v>389</v>
      </c>
      <c r="D81" s="1036"/>
      <c r="E81" s="1036" t="s">
        <v>390</v>
      </c>
      <c r="F81" s="1036">
        <v>76</v>
      </c>
      <c r="G81" s="1036">
        <v>188</v>
      </c>
      <c r="H81" s="1036" t="s">
        <v>117</v>
      </c>
      <c r="I81" s="1036">
        <v>2010</v>
      </c>
      <c r="J81" s="1036">
        <v>2</v>
      </c>
      <c r="K81" s="1036">
        <v>46</v>
      </c>
      <c r="L81" s="1036" t="s">
        <v>108</v>
      </c>
      <c r="M81" s="1036">
        <v>21</v>
      </c>
      <c r="N81" s="1036" t="s">
        <v>566</v>
      </c>
      <c r="O81" s="1038" t="s">
        <v>409</v>
      </c>
      <c r="P81" s="1038" t="s">
        <v>567</v>
      </c>
      <c r="Q81" s="1036" t="s">
        <v>365</v>
      </c>
      <c r="R81" s="1036"/>
      <c r="S81" s="1036"/>
      <c r="T81" s="1038" t="s">
        <v>138</v>
      </c>
      <c r="U81" s="1036">
        <v>44</v>
      </c>
      <c r="V81" s="1036">
        <v>0</v>
      </c>
      <c r="W81" s="1036">
        <v>6</v>
      </c>
      <c r="X81" s="1036">
        <v>6</v>
      </c>
      <c r="Y81" s="1298">
        <f t="shared" si="1"/>
        <v>0.13636363636363635</v>
      </c>
      <c r="Z81" s="1298" t="s">
        <v>668</v>
      </c>
      <c r="AA81" s="1298">
        <f>7/24</f>
        <v>0.29166666666666669</v>
      </c>
      <c r="AB81" s="1036">
        <v>-2</v>
      </c>
      <c r="AC81" s="1036">
        <v>28</v>
      </c>
      <c r="AD81" s="1036">
        <v>19</v>
      </c>
      <c r="AE81" s="1036">
        <v>29</v>
      </c>
      <c r="AF81" s="1039">
        <v>0</v>
      </c>
      <c r="AG81" s="1039">
        <v>0</v>
      </c>
      <c r="AH81" s="1040">
        <v>51.6</v>
      </c>
      <c r="AI81" s="1041">
        <v>15</v>
      </c>
      <c r="AJ81" s="1041">
        <v>3</v>
      </c>
      <c r="AK81" s="1041">
        <v>7</v>
      </c>
      <c r="AL81" s="1037">
        <v>843.16666666670005</v>
      </c>
      <c r="AM81" s="1040">
        <v>19.162878787879546</v>
      </c>
      <c r="AN81" s="1036">
        <v>1054</v>
      </c>
      <c r="AO81" s="1040">
        <v>23.954545454545453</v>
      </c>
      <c r="AP81" s="1042">
        <v>0.79996837444658453</v>
      </c>
      <c r="AQ81" s="1041">
        <v>34.159419999999997</v>
      </c>
      <c r="AR81" s="1042">
        <v>2.4307948606442995</v>
      </c>
      <c r="AS81" s="1039">
        <v>0</v>
      </c>
      <c r="AT81" s="1039">
        <v>0.11764705882352941</v>
      </c>
      <c r="AU81" s="1039">
        <v>0.11764705882352941</v>
      </c>
      <c r="AV81" s="1036">
        <v>0</v>
      </c>
      <c r="AW81" s="1036">
        <v>0</v>
      </c>
      <c r="AX81" s="1043">
        <v>0</v>
      </c>
      <c r="AY81" s="1036">
        <v>0</v>
      </c>
      <c r="AZ81" s="1036">
        <v>25</v>
      </c>
      <c r="BA81" s="1036">
        <v>17</v>
      </c>
      <c r="BB81" s="1036">
        <v>60</v>
      </c>
      <c r="BC81" s="1036">
        <v>19</v>
      </c>
      <c r="BD81" s="1036">
        <v>33</v>
      </c>
      <c r="BE81" s="1036">
        <v>17</v>
      </c>
      <c r="BF81" s="1037">
        <v>1.7790077090333354</v>
      </c>
      <c r="BG81" s="1040">
        <v>1.2097252421426681</v>
      </c>
      <c r="BH81" s="1040">
        <v>4.2696185016800046</v>
      </c>
      <c r="BI81" s="1040">
        <v>1.3520458588653348</v>
      </c>
      <c r="BJ81" s="1040">
        <v>2.3482901759240025</v>
      </c>
      <c r="BK81" s="1040">
        <v>1.2097252421426681</v>
      </c>
      <c r="BL81" s="1036">
        <v>16</v>
      </c>
      <c r="BM81" s="1036">
        <v>8</v>
      </c>
      <c r="BN81" s="1036">
        <v>0</v>
      </c>
      <c r="BO81" s="1036">
        <v>0</v>
      </c>
      <c r="BP81" s="1036">
        <v>0</v>
      </c>
      <c r="BQ81" s="1036">
        <v>0</v>
      </c>
      <c r="BR81" s="1037">
        <v>-1.0026390000000001</v>
      </c>
      <c r="BS81" s="1036"/>
      <c r="BT81" s="1036"/>
      <c r="BU81" s="1044" t="s">
        <v>139</v>
      </c>
      <c r="BV81" s="1036"/>
      <c r="BW81" s="1036">
        <v>0</v>
      </c>
      <c r="BX81" s="1036">
        <v>12</v>
      </c>
      <c r="BY81" s="1036">
        <v>0</v>
      </c>
      <c r="BZ81" s="1036">
        <v>0</v>
      </c>
      <c r="CA81" s="1036">
        <v>0</v>
      </c>
      <c r="CB81" s="1036">
        <v>0</v>
      </c>
      <c r="CC81" s="1036">
        <v>0</v>
      </c>
      <c r="CD81" s="1036">
        <v>0</v>
      </c>
      <c r="CE81" s="1044">
        <v>0</v>
      </c>
      <c r="CF81" s="1045">
        <v>3</v>
      </c>
      <c r="CG81" s="1036">
        <v>-0.4</v>
      </c>
      <c r="CH81" s="1036">
        <v>1.8</v>
      </c>
      <c r="CI81" s="1036">
        <v>1.4</v>
      </c>
      <c r="CJ81" s="1046">
        <v>3.1818181818181815E-2</v>
      </c>
      <c r="CK81" s="1046">
        <v>9.9624431705866767E-2</v>
      </c>
      <c r="CL81" s="1036">
        <v>13.7</v>
      </c>
      <c r="CM81" s="1036">
        <v>16.600000000000001</v>
      </c>
      <c r="CN81" s="1036">
        <v>5.4</v>
      </c>
      <c r="CO81" s="1036">
        <v>-1.1000000000000001</v>
      </c>
      <c r="CP81" s="1036">
        <v>2</v>
      </c>
      <c r="CQ81" s="1036">
        <v>0</v>
      </c>
      <c r="CR81" s="1036">
        <v>0.9</v>
      </c>
      <c r="CS81" s="1047">
        <v>2.0454545454545454E-2</v>
      </c>
      <c r="CT81" s="1047">
        <v>6.4044277525200075E-2</v>
      </c>
      <c r="CU81" s="1036"/>
      <c r="CV81" s="1036"/>
      <c r="CW81" s="1036"/>
      <c r="CX81" s="1036"/>
      <c r="CY81" s="1036"/>
      <c r="CZ81" s="1036">
        <v>870000</v>
      </c>
      <c r="DA81" s="1036"/>
      <c r="DB81" s="1048">
        <v>-0.62780487804878049</v>
      </c>
    </row>
    <row r="82" spans="1:106" x14ac:dyDescent="0.25">
      <c r="A82" s="1049">
        <v>15</v>
      </c>
      <c r="B82" s="1049" t="s">
        <v>124</v>
      </c>
      <c r="C82" s="1049" t="s">
        <v>568</v>
      </c>
      <c r="D82" s="1049" t="s">
        <v>168</v>
      </c>
      <c r="E82" s="1049" t="s">
        <v>106</v>
      </c>
      <c r="F82" s="1049">
        <v>74</v>
      </c>
      <c r="G82" s="1049">
        <v>205</v>
      </c>
      <c r="H82" s="1049" t="s">
        <v>117</v>
      </c>
      <c r="I82" s="1049">
        <v>2010</v>
      </c>
      <c r="J82" s="1049">
        <v>4</v>
      </c>
      <c r="K82" s="1049">
        <v>119</v>
      </c>
      <c r="L82" s="1049" t="s">
        <v>108</v>
      </c>
      <c r="M82" s="1049">
        <v>23</v>
      </c>
      <c r="N82" s="1049" t="s">
        <v>569</v>
      </c>
      <c r="O82" s="1051" t="s">
        <v>570</v>
      </c>
      <c r="P82" s="1051" t="s">
        <v>571</v>
      </c>
      <c r="Q82" s="1049" t="s">
        <v>303</v>
      </c>
      <c r="R82" s="1049"/>
      <c r="S82" s="1049"/>
      <c r="T82" s="1051" t="s">
        <v>122</v>
      </c>
      <c r="U82" s="1049">
        <v>18</v>
      </c>
      <c r="V82" s="1049">
        <v>4</v>
      </c>
      <c r="W82" s="1049">
        <v>1</v>
      </c>
      <c r="X82" s="1049">
        <v>5</v>
      </c>
      <c r="Y82" s="1298">
        <f t="shared" si="1"/>
        <v>0.27777777777777779</v>
      </c>
      <c r="Z82" s="1298" t="s">
        <v>668</v>
      </c>
      <c r="AA82" s="1298">
        <f>26/46</f>
        <v>0.56521739130434778</v>
      </c>
      <c r="AB82" s="1049">
        <v>-1</v>
      </c>
      <c r="AC82" s="1049">
        <v>16</v>
      </c>
      <c r="AD82" s="1049">
        <v>8</v>
      </c>
      <c r="AE82" s="1049">
        <v>8</v>
      </c>
      <c r="AF82" s="1052">
        <v>0.25</v>
      </c>
      <c r="AG82" s="1052">
        <v>0.125</v>
      </c>
      <c r="AH82" s="1053">
        <v>26.8</v>
      </c>
      <c r="AI82" s="1054">
        <v>5</v>
      </c>
      <c r="AJ82" s="1054">
        <v>3</v>
      </c>
      <c r="AK82" s="1054">
        <v>1</v>
      </c>
      <c r="AL82" s="1050">
        <v>201.23333333330001</v>
      </c>
      <c r="AM82" s="1053">
        <v>11.179629629627778</v>
      </c>
      <c r="AN82" s="1049">
        <v>275</v>
      </c>
      <c r="AO82" s="1053">
        <v>15.277777777777779</v>
      </c>
      <c r="AP82" s="1055">
        <v>0.73175757575745459</v>
      </c>
      <c r="AQ82" s="1054">
        <v>8.1111109999999993</v>
      </c>
      <c r="AR82" s="1055">
        <v>2.4184197117777733</v>
      </c>
      <c r="AS82" s="1052">
        <v>0.19047619047619047</v>
      </c>
      <c r="AT82" s="1052">
        <v>4.7619047619047616E-2</v>
      </c>
      <c r="AU82" s="1052">
        <v>0.23809523809523808</v>
      </c>
      <c r="AV82" s="1049">
        <v>0</v>
      </c>
      <c r="AW82" s="1049">
        <v>0</v>
      </c>
      <c r="AX82" s="1056">
        <v>0</v>
      </c>
      <c r="AY82" s="1049">
        <v>0</v>
      </c>
      <c r="AZ82" s="1049">
        <v>35</v>
      </c>
      <c r="BA82" s="1049">
        <v>26</v>
      </c>
      <c r="BB82" s="1049">
        <v>7</v>
      </c>
      <c r="BC82" s="1049">
        <v>8</v>
      </c>
      <c r="BD82" s="1049">
        <v>6</v>
      </c>
      <c r="BE82" s="1049">
        <v>4</v>
      </c>
      <c r="BF82" s="1050">
        <v>10.435646844460896</v>
      </c>
      <c r="BG82" s="1053">
        <v>7.7521947987423809</v>
      </c>
      <c r="BH82" s="1053">
        <v>2.087129368892179</v>
      </c>
      <c r="BI82" s="1053">
        <v>2.385290707305348</v>
      </c>
      <c r="BJ82" s="1053">
        <v>1.7889680304790108</v>
      </c>
      <c r="BK82" s="1053">
        <v>1.192645353652674</v>
      </c>
      <c r="BL82" s="1049">
        <v>4</v>
      </c>
      <c r="BM82" s="1049">
        <v>2</v>
      </c>
      <c r="BN82" s="1049">
        <v>0</v>
      </c>
      <c r="BO82" s="1049">
        <v>0</v>
      </c>
      <c r="BP82" s="1049">
        <v>0</v>
      </c>
      <c r="BQ82" s="1049">
        <v>0</v>
      </c>
      <c r="BR82" s="1050">
        <v>-2.3112689999999998</v>
      </c>
      <c r="BS82" s="1049"/>
      <c r="BT82" s="1049"/>
      <c r="BU82" s="1057" t="s">
        <v>139</v>
      </c>
      <c r="BV82" s="1049"/>
      <c r="BW82" s="1049">
        <v>1</v>
      </c>
      <c r="BX82" s="1049">
        <v>5</v>
      </c>
      <c r="BY82" s="1049">
        <v>0</v>
      </c>
      <c r="BZ82" s="1049">
        <v>0</v>
      </c>
      <c r="CA82" s="1049">
        <v>0</v>
      </c>
      <c r="CB82" s="1049">
        <v>0</v>
      </c>
      <c r="CC82" s="1049">
        <v>0</v>
      </c>
      <c r="CD82" s="1049">
        <v>0</v>
      </c>
      <c r="CE82" s="1057">
        <v>0</v>
      </c>
      <c r="CF82" s="1058">
        <v>4</v>
      </c>
      <c r="CG82" s="1049">
        <v>0.4</v>
      </c>
      <c r="CH82" s="1049">
        <v>0.2</v>
      </c>
      <c r="CI82" s="1049">
        <v>0.60000000000000009</v>
      </c>
      <c r="CJ82" s="1059">
        <v>3.333333333333334E-2</v>
      </c>
      <c r="CK82" s="1059">
        <v>0.17889680304790112</v>
      </c>
      <c r="CL82" s="1049">
        <v>4.9000000000000004</v>
      </c>
      <c r="CM82" s="1049">
        <v>4.4000000000000004</v>
      </c>
      <c r="CN82" s="1049">
        <v>-0.7</v>
      </c>
      <c r="CO82" s="1049">
        <v>0.2</v>
      </c>
      <c r="CP82" s="1049">
        <v>0.2</v>
      </c>
      <c r="CQ82" s="1049">
        <v>0</v>
      </c>
      <c r="CR82" s="1049">
        <v>0.4</v>
      </c>
      <c r="CS82" s="1060">
        <v>2.2222222222222223E-2</v>
      </c>
      <c r="CT82" s="1060">
        <v>0.1192645353652674</v>
      </c>
      <c r="CU82" s="1049"/>
      <c r="CV82" s="1049"/>
      <c r="CW82" s="1049"/>
      <c r="CX82" s="1049"/>
      <c r="CY82" s="1049"/>
      <c r="CZ82" s="1049">
        <v>775000</v>
      </c>
      <c r="DA82" s="1049"/>
      <c r="DB82" s="1061">
        <v>-0.96097560975609742</v>
      </c>
    </row>
    <row r="83" spans="1:106" x14ac:dyDescent="0.25">
      <c r="A83" s="1062">
        <v>14</v>
      </c>
      <c r="B83" s="1062" t="s">
        <v>572</v>
      </c>
      <c r="C83" s="1062" t="s">
        <v>573</v>
      </c>
      <c r="D83" s="1062" t="s">
        <v>168</v>
      </c>
      <c r="E83" s="1062" t="s">
        <v>106</v>
      </c>
      <c r="F83" s="1062">
        <v>75</v>
      </c>
      <c r="G83" s="1062">
        <v>235</v>
      </c>
      <c r="H83" s="1062" t="s">
        <v>107</v>
      </c>
      <c r="I83" s="1062">
        <v>2007</v>
      </c>
      <c r="J83" s="1062">
        <v>6</v>
      </c>
      <c r="K83" s="1062">
        <v>160</v>
      </c>
      <c r="L83" s="1062" t="s">
        <v>108</v>
      </c>
      <c r="M83" s="1062">
        <v>24</v>
      </c>
      <c r="N83" s="1062" t="s">
        <v>574</v>
      </c>
      <c r="O83" s="1064" t="s">
        <v>575</v>
      </c>
      <c r="P83" s="1064" t="s">
        <v>576</v>
      </c>
      <c r="Q83" s="1062" t="s">
        <v>186</v>
      </c>
      <c r="R83" s="1062"/>
      <c r="S83" s="1062"/>
      <c r="T83" s="1064" t="s">
        <v>164</v>
      </c>
      <c r="U83" s="1062">
        <v>53</v>
      </c>
      <c r="V83" s="1062">
        <v>2</v>
      </c>
      <c r="W83" s="1062">
        <v>3</v>
      </c>
      <c r="X83" s="1062">
        <v>5</v>
      </c>
      <c r="Y83" s="1298">
        <f t="shared" si="1"/>
        <v>9.4339622641509441E-2</v>
      </c>
      <c r="Z83" s="1298" t="s">
        <v>668</v>
      </c>
      <c r="AA83" s="1298">
        <f>11/36</f>
        <v>0.30555555555555558</v>
      </c>
      <c r="AB83" s="1062">
        <v>-5</v>
      </c>
      <c r="AC83" s="1062">
        <v>24</v>
      </c>
      <c r="AD83" s="1062">
        <v>7</v>
      </c>
      <c r="AE83" s="1062">
        <v>1</v>
      </c>
      <c r="AF83" s="1065">
        <v>8.3333333333333329E-2</v>
      </c>
      <c r="AG83" s="1065">
        <v>6.25E-2</v>
      </c>
      <c r="AH83" s="1066">
        <v>21.7</v>
      </c>
      <c r="AI83" s="1067">
        <v>7</v>
      </c>
      <c r="AJ83" s="1067">
        <v>5</v>
      </c>
      <c r="AK83" s="1067">
        <v>1</v>
      </c>
      <c r="AL83" s="1063">
        <v>306.06666666669997</v>
      </c>
      <c r="AM83" s="1066">
        <v>5.7748427672962261</v>
      </c>
      <c r="AN83" s="1062">
        <v>434</v>
      </c>
      <c r="AO83" s="1066">
        <v>8.1886792452830193</v>
      </c>
      <c r="AP83" s="1068">
        <v>0.70522273425506909</v>
      </c>
      <c r="AQ83" s="1067">
        <v>22.6</v>
      </c>
      <c r="AR83" s="1068">
        <v>4.4304073186664752</v>
      </c>
      <c r="AS83" s="1065">
        <v>1.6260162601626018E-2</v>
      </c>
      <c r="AT83" s="1065">
        <v>2.4390243902439025E-2</v>
      </c>
      <c r="AU83" s="1065">
        <v>4.065040650406504E-2</v>
      </c>
      <c r="AV83" s="1062">
        <v>1</v>
      </c>
      <c r="AW83" s="1062">
        <v>2</v>
      </c>
      <c r="AX83" s="1069">
        <v>0.33333333333333331</v>
      </c>
      <c r="AY83" s="1062">
        <v>0.1</v>
      </c>
      <c r="AZ83" s="1062">
        <v>40</v>
      </c>
      <c r="BA83" s="1062">
        <v>85</v>
      </c>
      <c r="BB83" s="1062">
        <v>3</v>
      </c>
      <c r="BC83" s="1062">
        <v>7</v>
      </c>
      <c r="BD83" s="1062">
        <v>2</v>
      </c>
      <c r="BE83" s="1062">
        <v>7</v>
      </c>
      <c r="BF83" s="1063">
        <v>7.8414288825955305</v>
      </c>
      <c r="BG83" s="1066">
        <v>16.663036375515503</v>
      </c>
      <c r="BH83" s="1066">
        <v>0.58810716619466474</v>
      </c>
      <c r="BI83" s="1066">
        <v>1.372250054454218</v>
      </c>
      <c r="BJ83" s="1066">
        <v>0.39207144412977657</v>
      </c>
      <c r="BK83" s="1066">
        <v>1.372250054454218</v>
      </c>
      <c r="BL83" s="1062">
        <v>65</v>
      </c>
      <c r="BM83" s="1062">
        <v>5</v>
      </c>
      <c r="BN83" s="1062">
        <v>9</v>
      </c>
      <c r="BO83" s="1062">
        <v>0</v>
      </c>
      <c r="BP83" s="1062">
        <v>1</v>
      </c>
      <c r="BQ83" s="1062">
        <v>0</v>
      </c>
      <c r="BR83" s="1063">
        <v>-3.5513310000000002</v>
      </c>
      <c r="BS83" s="1062">
        <v>1</v>
      </c>
      <c r="BT83" s="1062">
        <v>0</v>
      </c>
      <c r="BU83" s="1070">
        <v>0</v>
      </c>
      <c r="BV83" s="1062">
        <v>0</v>
      </c>
      <c r="BW83" s="1062">
        <v>0</v>
      </c>
      <c r="BX83" s="1062">
        <v>16</v>
      </c>
      <c r="BY83" s="1062">
        <v>0</v>
      </c>
      <c r="BZ83" s="1062">
        <v>0</v>
      </c>
      <c r="CA83" s="1062">
        <v>0</v>
      </c>
      <c r="CB83" s="1062">
        <v>1</v>
      </c>
      <c r="CC83" s="1062">
        <v>0</v>
      </c>
      <c r="CD83" s="1062">
        <v>0</v>
      </c>
      <c r="CE83" s="1070">
        <v>0</v>
      </c>
      <c r="CF83" s="1071">
        <v>1</v>
      </c>
      <c r="CG83" s="1062">
        <v>-0.1</v>
      </c>
      <c r="CH83" s="1062">
        <v>0.1</v>
      </c>
      <c r="CI83" s="1062">
        <v>0</v>
      </c>
      <c r="CJ83" s="1072">
        <v>0</v>
      </c>
      <c r="CK83" s="1072">
        <v>0</v>
      </c>
      <c r="CL83" s="1062">
        <v>7.8</v>
      </c>
      <c r="CM83" s="1062">
        <v>7.6</v>
      </c>
      <c r="CN83" s="1062">
        <v>-4.8</v>
      </c>
      <c r="CO83" s="1062">
        <v>-1.5</v>
      </c>
      <c r="CP83" s="1062">
        <v>0.2</v>
      </c>
      <c r="CQ83" s="1062">
        <v>-0.30000000000000004</v>
      </c>
      <c r="CR83" s="1062">
        <v>-1.6</v>
      </c>
      <c r="CS83" s="1073">
        <v>-3.0188679245283019E-2</v>
      </c>
      <c r="CT83" s="1073">
        <v>-0.31365715530382127</v>
      </c>
      <c r="CU83" s="1062"/>
      <c r="CV83" s="1062"/>
      <c r="CW83" s="1062"/>
      <c r="CX83" s="1062"/>
      <c r="CY83" s="1062"/>
      <c r="CZ83" s="1062">
        <v>562500</v>
      </c>
      <c r="DA83" s="1062"/>
      <c r="DB83" s="1074">
        <v>-2.5878048780487806</v>
      </c>
    </row>
    <row r="84" spans="1:106" x14ac:dyDescent="0.25">
      <c r="A84" s="1075">
        <v>9</v>
      </c>
      <c r="B84" s="1075" t="s">
        <v>577</v>
      </c>
      <c r="C84" s="1075" t="s">
        <v>578</v>
      </c>
      <c r="D84" s="1075"/>
      <c r="E84" s="1075" t="s">
        <v>190</v>
      </c>
      <c r="F84" s="1075">
        <v>73</v>
      </c>
      <c r="G84" s="1075">
        <v>186</v>
      </c>
      <c r="H84" s="1075" t="s">
        <v>107</v>
      </c>
      <c r="I84" s="1075">
        <v>2012</v>
      </c>
      <c r="J84" s="1075">
        <v>1</v>
      </c>
      <c r="K84" s="1075">
        <v>11</v>
      </c>
      <c r="L84" s="1075" t="s">
        <v>108</v>
      </c>
      <c r="M84" s="1075">
        <v>19</v>
      </c>
      <c r="N84" s="1075" t="s">
        <v>579</v>
      </c>
      <c r="O84" s="1077" t="s">
        <v>580</v>
      </c>
      <c r="P84" s="1077" t="s">
        <v>581</v>
      </c>
      <c r="Q84" s="1075" t="s">
        <v>271</v>
      </c>
      <c r="R84" s="1075"/>
      <c r="S84" s="1075"/>
      <c r="T84" s="1077" t="s">
        <v>207</v>
      </c>
      <c r="U84" s="1075">
        <v>13</v>
      </c>
      <c r="V84" s="1075">
        <v>1</v>
      </c>
      <c r="W84" s="1075">
        <v>4</v>
      </c>
      <c r="X84" s="1075">
        <v>5</v>
      </c>
      <c r="Y84" s="1298">
        <f t="shared" si="1"/>
        <v>0.38461538461538464</v>
      </c>
      <c r="Z84" s="1298" t="s">
        <v>673</v>
      </c>
      <c r="AA84" s="1298">
        <f>33/38</f>
        <v>0.86842105263157898</v>
      </c>
      <c r="AB84" s="1075">
        <v>-8</v>
      </c>
      <c r="AC84" s="1075">
        <v>20</v>
      </c>
      <c r="AD84" s="1075">
        <v>9</v>
      </c>
      <c r="AE84" s="1075">
        <v>9</v>
      </c>
      <c r="AF84" s="1078">
        <v>0.05</v>
      </c>
      <c r="AG84" s="1078">
        <v>2.6315789473684209E-2</v>
      </c>
      <c r="AH84" s="1079">
        <v>34.700000000000003</v>
      </c>
      <c r="AI84" s="1080">
        <v>15</v>
      </c>
      <c r="AJ84" s="1080">
        <v>1</v>
      </c>
      <c r="AK84" s="1080">
        <v>1</v>
      </c>
      <c r="AL84" s="1076">
        <v>148.26666666669999</v>
      </c>
      <c r="AM84" s="1079">
        <v>11.405128205130769</v>
      </c>
      <c r="AN84" s="1075">
        <v>187</v>
      </c>
      <c r="AO84" s="1079">
        <v>14.384615384615385</v>
      </c>
      <c r="AP84" s="1081">
        <v>0.79286987522299457</v>
      </c>
      <c r="AQ84" s="1080">
        <v>49</v>
      </c>
      <c r="AR84" s="1081">
        <v>19.829136690643026</v>
      </c>
      <c r="AS84" s="1078">
        <v>5.2631578947368418E-2</v>
      </c>
      <c r="AT84" s="1078">
        <v>0.21052631578947367</v>
      </c>
      <c r="AU84" s="1078">
        <v>0.26315789473684209</v>
      </c>
      <c r="AV84" s="1075">
        <v>0</v>
      </c>
      <c r="AW84" s="1075">
        <v>0</v>
      </c>
      <c r="AX84" s="1082">
        <v>0</v>
      </c>
      <c r="AY84" s="1075">
        <v>0</v>
      </c>
      <c r="AZ84" s="1075">
        <v>8</v>
      </c>
      <c r="BA84" s="1075">
        <v>6</v>
      </c>
      <c r="BB84" s="1075">
        <v>2</v>
      </c>
      <c r="BC84" s="1075">
        <v>9</v>
      </c>
      <c r="BD84" s="1075">
        <v>6</v>
      </c>
      <c r="BE84" s="1075">
        <v>6</v>
      </c>
      <c r="BF84" s="1076">
        <v>3.2374100719417185</v>
      </c>
      <c r="BG84" s="1079">
        <v>2.4280575539562887</v>
      </c>
      <c r="BH84" s="1079">
        <v>0.80935251798542962</v>
      </c>
      <c r="BI84" s="1079">
        <v>3.6420863309344331</v>
      </c>
      <c r="BJ84" s="1079">
        <v>2.4280575539562887</v>
      </c>
      <c r="BK84" s="1079">
        <v>2.4280575539562887</v>
      </c>
      <c r="BL84" s="1075">
        <v>4</v>
      </c>
      <c r="BM84" s="1075">
        <v>2</v>
      </c>
      <c r="BN84" s="1075">
        <v>0</v>
      </c>
      <c r="BO84" s="1075">
        <v>0</v>
      </c>
      <c r="BP84" s="1075">
        <v>0</v>
      </c>
      <c r="BQ84" s="1075">
        <v>0</v>
      </c>
      <c r="BR84" s="1076">
        <v>-1.1669609999999999</v>
      </c>
      <c r="BS84" s="1075">
        <v>1</v>
      </c>
      <c r="BT84" s="1075">
        <v>0</v>
      </c>
      <c r="BU84" s="1083">
        <v>0</v>
      </c>
      <c r="BV84" s="1075">
        <v>0</v>
      </c>
      <c r="BW84" s="1075">
        <v>0</v>
      </c>
      <c r="BX84" s="1075">
        <v>2</v>
      </c>
      <c r="BY84" s="1075">
        <v>0</v>
      </c>
      <c r="BZ84" s="1075">
        <v>0</v>
      </c>
      <c r="CA84" s="1075">
        <v>0</v>
      </c>
      <c r="CB84" s="1075">
        <v>0</v>
      </c>
      <c r="CC84" s="1075">
        <v>0</v>
      </c>
      <c r="CD84" s="1075">
        <v>0</v>
      </c>
      <c r="CE84" s="1083">
        <v>0</v>
      </c>
      <c r="CF84" s="1084">
        <v>3</v>
      </c>
      <c r="CG84" s="1075">
        <v>0.30000000000000004</v>
      </c>
      <c r="CH84" s="1075">
        <v>-0.2</v>
      </c>
      <c r="CI84" s="1075">
        <v>0.1</v>
      </c>
      <c r="CJ84" s="1085">
        <v>7.6923076923076927E-3</v>
      </c>
      <c r="CK84" s="1085">
        <v>4.0467625899271484E-2</v>
      </c>
      <c r="CL84" s="1075">
        <v>4</v>
      </c>
      <c r="CM84" s="1075">
        <v>2.8</v>
      </c>
      <c r="CN84" s="1075">
        <v>-7.4</v>
      </c>
      <c r="CO84" s="1075">
        <v>0.1</v>
      </c>
      <c r="CP84" s="1075">
        <v>-0.5</v>
      </c>
      <c r="CQ84" s="1075">
        <v>-0.30000000000000004</v>
      </c>
      <c r="CR84" s="1075">
        <v>-0.7</v>
      </c>
      <c r="CS84" s="1086">
        <v>-5.3846153846153842E-2</v>
      </c>
      <c r="CT84" s="1086">
        <v>-0.28327338129490032</v>
      </c>
      <c r="CU84" s="1075"/>
      <c r="CV84" s="1075"/>
      <c r="CW84" s="1075"/>
      <c r="CX84" s="1075">
        <v>16</v>
      </c>
      <c r="CY84" s="1075" t="s">
        <v>582</v>
      </c>
      <c r="CZ84" s="1075">
        <v>1460833</v>
      </c>
      <c r="DA84" s="1075"/>
      <c r="DB84" s="1087">
        <v>-3.2653652682926833</v>
      </c>
    </row>
    <row r="85" spans="1:106" x14ac:dyDescent="0.25">
      <c r="A85" s="1088">
        <v>57</v>
      </c>
      <c r="B85" s="1088" t="s">
        <v>583</v>
      </c>
      <c r="C85" s="1088" t="s">
        <v>584</v>
      </c>
      <c r="D85" s="1088" t="s">
        <v>342</v>
      </c>
      <c r="E85" s="1088" t="s">
        <v>106</v>
      </c>
      <c r="F85" s="1088">
        <v>72</v>
      </c>
      <c r="G85" s="1088">
        <v>189</v>
      </c>
      <c r="H85" s="1088" t="s">
        <v>107</v>
      </c>
      <c r="I85" s="1088">
        <v>2009</v>
      </c>
      <c r="J85" s="1088">
        <v>4</v>
      </c>
      <c r="K85" s="1088">
        <v>96</v>
      </c>
      <c r="L85" s="1088" t="s">
        <v>108</v>
      </c>
      <c r="M85" s="1088">
        <v>22</v>
      </c>
      <c r="N85" s="1088" t="s">
        <v>585</v>
      </c>
      <c r="O85" s="1090" t="s">
        <v>586</v>
      </c>
      <c r="P85" s="1090" t="s">
        <v>587</v>
      </c>
      <c r="Q85" s="1088" t="s">
        <v>206</v>
      </c>
      <c r="R85" s="1088"/>
      <c r="S85" s="1088"/>
      <c r="T85" s="1090" t="s">
        <v>164</v>
      </c>
      <c r="U85" s="1088">
        <v>18</v>
      </c>
      <c r="V85" s="1088">
        <v>0</v>
      </c>
      <c r="W85" s="1088">
        <v>5</v>
      </c>
      <c r="X85" s="1088">
        <v>5</v>
      </c>
      <c r="Y85" s="1298">
        <f t="shared" si="1"/>
        <v>0.27777777777777779</v>
      </c>
      <c r="Z85" s="1298" t="s">
        <v>668</v>
      </c>
      <c r="AA85" s="1298">
        <f>48/43</f>
        <v>1.1162790697674418</v>
      </c>
      <c r="AB85" s="1088">
        <v>0</v>
      </c>
      <c r="AC85" s="1088">
        <v>8</v>
      </c>
      <c r="AD85" s="1088">
        <v>8</v>
      </c>
      <c r="AE85" s="1088">
        <v>4</v>
      </c>
      <c r="AF85" s="1091">
        <v>0</v>
      </c>
      <c r="AG85" s="1091">
        <v>0</v>
      </c>
      <c r="AH85" s="1092">
        <v>28.4</v>
      </c>
      <c r="AI85" s="1093">
        <v>4</v>
      </c>
      <c r="AJ85" s="1093">
        <v>1</v>
      </c>
      <c r="AK85" s="1093">
        <v>2</v>
      </c>
      <c r="AL85" s="1089">
        <v>218.4</v>
      </c>
      <c r="AM85" s="1092">
        <v>12.133333333333333</v>
      </c>
      <c r="AN85" s="1088">
        <v>283</v>
      </c>
      <c r="AO85" s="1092">
        <v>15.722222222222221</v>
      </c>
      <c r="AP85" s="1094">
        <v>0.77173144876325095</v>
      </c>
      <c r="AQ85" s="1093">
        <v>39.5</v>
      </c>
      <c r="AR85" s="1094">
        <v>10.851648351648352</v>
      </c>
      <c r="AS85" s="1091">
        <v>0</v>
      </c>
      <c r="AT85" s="1091">
        <v>0.16129032258064516</v>
      </c>
      <c r="AU85" s="1091">
        <v>0.16129032258064516</v>
      </c>
      <c r="AV85" s="1088">
        <v>55</v>
      </c>
      <c r="AW85" s="1088">
        <v>69</v>
      </c>
      <c r="AX85" s="1095">
        <v>0.44354838709677419</v>
      </c>
      <c r="AY85" s="1088">
        <v>11.8</v>
      </c>
      <c r="AZ85" s="1088">
        <v>11</v>
      </c>
      <c r="BA85" s="1088">
        <v>2</v>
      </c>
      <c r="BB85" s="1088">
        <v>1</v>
      </c>
      <c r="BC85" s="1088">
        <v>8</v>
      </c>
      <c r="BD85" s="1088">
        <v>7</v>
      </c>
      <c r="BE85" s="1088">
        <v>7</v>
      </c>
      <c r="BF85" s="1089">
        <v>3.0219780219780219</v>
      </c>
      <c r="BG85" s="1092">
        <v>0.5494505494505495</v>
      </c>
      <c r="BH85" s="1092">
        <v>0.27472527472527475</v>
      </c>
      <c r="BI85" s="1092">
        <v>2.197802197802198</v>
      </c>
      <c r="BJ85" s="1092">
        <v>1.9230769230769229</v>
      </c>
      <c r="BK85" s="1092">
        <v>1.9230769230769229</v>
      </c>
      <c r="BL85" s="1088">
        <v>0</v>
      </c>
      <c r="BM85" s="1088">
        <v>0</v>
      </c>
      <c r="BN85" s="1088">
        <v>0</v>
      </c>
      <c r="BO85" s="1088">
        <v>0</v>
      </c>
      <c r="BP85" s="1088">
        <v>0</v>
      </c>
      <c r="BQ85" s="1088">
        <v>0</v>
      </c>
      <c r="BR85" s="1089">
        <v>2.7036579999999999</v>
      </c>
      <c r="BS85" s="1088">
        <v>1</v>
      </c>
      <c r="BT85" s="1088">
        <v>0</v>
      </c>
      <c r="BU85" s="1096">
        <v>0</v>
      </c>
      <c r="BV85" s="1088">
        <v>0</v>
      </c>
      <c r="BW85" s="1088">
        <v>0</v>
      </c>
      <c r="BX85" s="1088">
        <v>5</v>
      </c>
      <c r="BY85" s="1088">
        <v>0</v>
      </c>
      <c r="BZ85" s="1088">
        <v>0</v>
      </c>
      <c r="CA85" s="1088">
        <v>0</v>
      </c>
      <c r="CB85" s="1088">
        <v>0</v>
      </c>
      <c r="CC85" s="1088">
        <v>0</v>
      </c>
      <c r="CD85" s="1088">
        <v>0</v>
      </c>
      <c r="CE85" s="1096">
        <v>0</v>
      </c>
      <c r="CF85" s="1097">
        <v>3</v>
      </c>
      <c r="CG85" s="1088">
        <v>-0.1</v>
      </c>
      <c r="CH85" s="1088">
        <v>0.30000000000000004</v>
      </c>
      <c r="CI85" s="1088">
        <v>0.2</v>
      </c>
      <c r="CJ85" s="1098">
        <v>1.1111111111111112E-2</v>
      </c>
      <c r="CK85" s="1098">
        <v>5.4945054945054944E-2</v>
      </c>
      <c r="CL85" s="1088">
        <v>3.8</v>
      </c>
      <c r="CM85" s="1088">
        <v>4.2</v>
      </c>
      <c r="CN85" s="1088">
        <v>-1.3</v>
      </c>
      <c r="CO85" s="1088">
        <v>0</v>
      </c>
      <c r="CP85" s="1088">
        <v>0.60000000000000009</v>
      </c>
      <c r="CQ85" s="1088">
        <v>-0.30000000000000004</v>
      </c>
      <c r="CR85" s="1088">
        <v>0.30000000000000004</v>
      </c>
      <c r="CS85" s="1099">
        <v>1.666666666666667E-2</v>
      </c>
      <c r="CT85" s="1099">
        <v>8.241758241758243E-2</v>
      </c>
      <c r="CU85" s="1088"/>
      <c r="CV85" s="1088"/>
      <c r="CW85" s="1088"/>
      <c r="CX85" s="1088"/>
      <c r="CY85" s="1088"/>
      <c r="CZ85" s="1088">
        <v>900000</v>
      </c>
      <c r="DA85" s="1088"/>
      <c r="DB85" s="1100">
        <v>-1.2804878048780488</v>
      </c>
    </row>
    <row r="86" spans="1:106" x14ac:dyDescent="0.25">
      <c r="A86" s="1101">
        <v>20</v>
      </c>
      <c r="B86" s="1101" t="s">
        <v>588</v>
      </c>
      <c r="C86" s="1101" t="s">
        <v>260</v>
      </c>
      <c r="D86" s="1101" t="s">
        <v>168</v>
      </c>
      <c r="E86" s="1101" t="s">
        <v>106</v>
      </c>
      <c r="F86" s="1101">
        <v>75</v>
      </c>
      <c r="G86" s="1101">
        <v>240</v>
      </c>
      <c r="H86" s="1101" t="s">
        <v>117</v>
      </c>
      <c r="I86" s="1101">
        <v>2007</v>
      </c>
      <c r="J86" s="1101">
        <v>6</v>
      </c>
      <c r="K86" s="1101">
        <v>172</v>
      </c>
      <c r="L86" s="1101" t="s">
        <v>108</v>
      </c>
      <c r="M86" s="1101">
        <v>24</v>
      </c>
      <c r="N86" s="1101" t="s">
        <v>589</v>
      </c>
      <c r="O86" s="1103" t="s">
        <v>525</v>
      </c>
      <c r="P86" s="1103" t="s">
        <v>590</v>
      </c>
      <c r="Q86" s="1101" t="s">
        <v>365</v>
      </c>
      <c r="R86" s="1101"/>
      <c r="S86" s="1101"/>
      <c r="T86" s="1103" t="s">
        <v>122</v>
      </c>
      <c r="U86" s="1101">
        <v>67</v>
      </c>
      <c r="V86" s="1101">
        <v>2</v>
      </c>
      <c r="W86" s="1101">
        <v>2</v>
      </c>
      <c r="X86" s="1101">
        <v>4</v>
      </c>
      <c r="Y86" s="1298">
        <f t="shared" si="1"/>
        <v>5.9701492537313432E-2</v>
      </c>
      <c r="Z86" s="1298" t="s">
        <v>668</v>
      </c>
      <c r="AA86" s="1298">
        <f>11/59</f>
        <v>0.1864406779661017</v>
      </c>
      <c r="AB86" s="1101">
        <v>-8</v>
      </c>
      <c r="AC86" s="1101">
        <v>30</v>
      </c>
      <c r="AD86" s="1101">
        <v>9</v>
      </c>
      <c r="AE86" s="1101">
        <v>12</v>
      </c>
      <c r="AF86" s="1104">
        <v>6.6666666666666666E-2</v>
      </c>
      <c r="AG86" s="1104">
        <v>3.9215686274509803E-2</v>
      </c>
      <c r="AH86" s="1105">
        <v>35</v>
      </c>
      <c r="AI86" s="1106">
        <v>14</v>
      </c>
      <c r="AJ86" s="1106">
        <v>7</v>
      </c>
      <c r="AK86" s="1106">
        <v>2</v>
      </c>
      <c r="AL86" s="1102">
        <v>388.6666666667</v>
      </c>
      <c r="AM86" s="1105">
        <v>5.8009950248761193</v>
      </c>
      <c r="AN86" s="1101">
        <v>603</v>
      </c>
      <c r="AO86" s="1105">
        <v>9</v>
      </c>
      <c r="AP86" s="1107">
        <v>0.64455500276401323</v>
      </c>
      <c r="AQ86" s="1106">
        <v>20.5</v>
      </c>
      <c r="AR86" s="1107">
        <v>3.1646655231558181</v>
      </c>
      <c r="AS86" s="1104">
        <v>1.8867924528301886E-2</v>
      </c>
      <c r="AT86" s="1104">
        <v>1.8867924528301886E-2</v>
      </c>
      <c r="AU86" s="1104">
        <v>3.7735849056603772E-2</v>
      </c>
      <c r="AV86" s="1101">
        <v>3</v>
      </c>
      <c r="AW86" s="1101">
        <v>0</v>
      </c>
      <c r="AX86" s="1108">
        <v>1</v>
      </c>
      <c r="AY86" s="1101">
        <v>0</v>
      </c>
      <c r="AZ86" s="1101">
        <v>41</v>
      </c>
      <c r="BA86" s="1101">
        <v>103</v>
      </c>
      <c r="BB86" s="1101">
        <v>22</v>
      </c>
      <c r="BC86" s="1101">
        <v>9</v>
      </c>
      <c r="BD86" s="1101">
        <v>11</v>
      </c>
      <c r="BE86" s="1101">
        <v>6</v>
      </c>
      <c r="BF86" s="1102">
        <v>6.3293310463116361</v>
      </c>
      <c r="BG86" s="1105">
        <v>15.900514579758498</v>
      </c>
      <c r="BH86" s="1105">
        <v>3.3962264150940484</v>
      </c>
      <c r="BI86" s="1105">
        <v>1.3893653516293833</v>
      </c>
      <c r="BJ86" s="1105">
        <v>1.6981132075470242</v>
      </c>
      <c r="BK86" s="1105">
        <v>0.92624356775292227</v>
      </c>
      <c r="BL86" s="1101">
        <v>127</v>
      </c>
      <c r="BM86" s="1101">
        <v>11</v>
      </c>
      <c r="BN86" s="1101">
        <v>15</v>
      </c>
      <c r="BO86" s="1101">
        <v>2</v>
      </c>
      <c r="BP86" s="1101">
        <v>1</v>
      </c>
      <c r="BQ86" s="1101">
        <v>0</v>
      </c>
      <c r="BR86" s="1102">
        <v>-3.700914</v>
      </c>
      <c r="BS86" s="1101"/>
      <c r="BT86" s="1101"/>
      <c r="BU86" s="1109" t="s">
        <v>139</v>
      </c>
      <c r="BV86" s="1101"/>
      <c r="BW86" s="1101">
        <v>1</v>
      </c>
      <c r="BX86" s="1101">
        <v>16</v>
      </c>
      <c r="BY86" s="1101">
        <v>0</v>
      </c>
      <c r="BZ86" s="1101">
        <v>0</v>
      </c>
      <c r="CA86" s="1101">
        <v>0</v>
      </c>
      <c r="CB86" s="1101">
        <v>0</v>
      </c>
      <c r="CC86" s="1101">
        <v>0</v>
      </c>
      <c r="CD86" s="1101">
        <v>0</v>
      </c>
      <c r="CE86" s="1109">
        <v>0</v>
      </c>
      <c r="CF86" s="1110">
        <v>2</v>
      </c>
      <c r="CG86" s="1101">
        <v>-0.4</v>
      </c>
      <c r="CH86" s="1101">
        <v>0.2</v>
      </c>
      <c r="CI86" s="1101">
        <v>-0.30000000000000004</v>
      </c>
      <c r="CJ86" s="1111">
        <v>-4.4776119402985077E-3</v>
      </c>
      <c r="CK86" s="1111">
        <v>-4.6312178387646119E-2</v>
      </c>
      <c r="CL86" s="1101">
        <v>7.7</v>
      </c>
      <c r="CM86" s="1101">
        <v>7.1</v>
      </c>
      <c r="CN86" s="1101">
        <v>-5</v>
      </c>
      <c r="CO86" s="1101">
        <v>-1.8</v>
      </c>
      <c r="CP86" s="1101">
        <v>-0.1</v>
      </c>
      <c r="CQ86" s="1101">
        <v>0</v>
      </c>
      <c r="CR86" s="1101">
        <v>-1.8</v>
      </c>
      <c r="CS86" s="1112">
        <v>-2.6865671641791045E-2</v>
      </c>
      <c r="CT86" s="1112">
        <v>-0.27787307032587671</v>
      </c>
      <c r="CU86" s="1101"/>
      <c r="CV86" s="1101"/>
      <c r="CW86" s="1101"/>
      <c r="CX86" s="1101">
        <v>9</v>
      </c>
      <c r="CY86" s="1101" t="s">
        <v>591</v>
      </c>
      <c r="CZ86" s="1101">
        <v>635000</v>
      </c>
      <c r="DA86" s="1101"/>
      <c r="DB86" s="1113">
        <v>-2.9151219512195121</v>
      </c>
    </row>
    <row r="87" spans="1:106" ht="26.25" x14ac:dyDescent="0.25">
      <c r="A87" s="1114">
        <v>55</v>
      </c>
      <c r="B87" s="1114" t="s">
        <v>592</v>
      </c>
      <c r="C87" s="1114" t="s">
        <v>593</v>
      </c>
      <c r="D87" s="1114"/>
      <c r="E87" s="1114" t="s">
        <v>221</v>
      </c>
      <c r="F87" s="1114">
        <v>76</v>
      </c>
      <c r="G87" s="1114">
        <v>219</v>
      </c>
      <c r="H87" s="1114" t="s">
        <v>107</v>
      </c>
      <c r="I87" s="1114">
        <v>2013</v>
      </c>
      <c r="J87" s="1114">
        <v>1</v>
      </c>
      <c r="K87" s="1114">
        <v>8</v>
      </c>
      <c r="L87" s="1114" t="s">
        <v>108</v>
      </c>
      <c r="M87" s="1114">
        <v>19</v>
      </c>
      <c r="N87" s="1114" t="s">
        <v>594</v>
      </c>
      <c r="O87" s="1116" t="s">
        <v>595</v>
      </c>
      <c r="P87" s="1116" t="s">
        <v>596</v>
      </c>
      <c r="Q87" s="1114" t="s">
        <v>311</v>
      </c>
      <c r="R87" s="1114"/>
      <c r="S87" s="1114"/>
      <c r="T87" s="1116" t="s">
        <v>138</v>
      </c>
      <c r="U87" s="1114">
        <v>34</v>
      </c>
      <c r="V87" s="1114">
        <v>2</v>
      </c>
      <c r="W87" s="1114">
        <v>2</v>
      </c>
      <c r="X87" s="1114">
        <v>4</v>
      </c>
      <c r="Y87" s="1298">
        <f t="shared" si="1"/>
        <v>0.11764705882352941</v>
      </c>
      <c r="Z87" s="1298" t="s">
        <v>675</v>
      </c>
      <c r="AA87" s="1298">
        <f>15/52</f>
        <v>0.28846153846153844</v>
      </c>
      <c r="AB87" s="1114">
        <v>-15</v>
      </c>
      <c r="AC87" s="1114">
        <v>52</v>
      </c>
      <c r="AD87" s="1114">
        <v>16</v>
      </c>
      <c r="AE87" s="1114">
        <v>19</v>
      </c>
      <c r="AF87" s="1117">
        <v>3.8461538461538464E-2</v>
      </c>
      <c r="AG87" s="1117">
        <v>2.2988505747126436E-2</v>
      </c>
      <c r="AH87" s="1118">
        <v>55.3</v>
      </c>
      <c r="AI87" s="1119">
        <v>23</v>
      </c>
      <c r="AJ87" s="1119">
        <v>9</v>
      </c>
      <c r="AK87" s="1119">
        <v>18</v>
      </c>
      <c r="AL87" s="1115">
        <v>649.96666666670001</v>
      </c>
      <c r="AM87" s="1118">
        <v>19.116666666667648</v>
      </c>
      <c r="AN87" s="1114">
        <v>796</v>
      </c>
      <c r="AO87" s="1118">
        <v>23.411764705882351</v>
      </c>
      <c r="AP87" s="1120">
        <v>0.81654103852600501</v>
      </c>
      <c r="AQ87" s="1119">
        <v>36.307692000000003</v>
      </c>
      <c r="AR87" s="1120">
        <v>3.3516511410839862</v>
      </c>
      <c r="AS87" s="1117">
        <v>6.8965517241379309E-2</v>
      </c>
      <c r="AT87" s="1117">
        <v>6.8965517241379309E-2</v>
      </c>
      <c r="AU87" s="1117">
        <v>0.13793103448275862</v>
      </c>
      <c r="AV87" s="1114">
        <v>0</v>
      </c>
      <c r="AW87" s="1114">
        <v>1</v>
      </c>
      <c r="AX87" s="1121">
        <v>0</v>
      </c>
      <c r="AY87" s="1114">
        <v>0</v>
      </c>
      <c r="AZ87" s="1114">
        <v>45</v>
      </c>
      <c r="BA87" s="1114">
        <v>66</v>
      </c>
      <c r="BB87" s="1114">
        <v>32</v>
      </c>
      <c r="BC87" s="1114">
        <v>16</v>
      </c>
      <c r="BD87" s="1114">
        <v>19</v>
      </c>
      <c r="BE87" s="1114">
        <v>9</v>
      </c>
      <c r="BF87" s="1115">
        <v>4.1540591825219675</v>
      </c>
      <c r="BG87" s="1118">
        <v>6.0926201343655526</v>
      </c>
      <c r="BH87" s="1118">
        <v>2.9539976409045106</v>
      </c>
      <c r="BI87" s="1118">
        <v>1.4769988204522553</v>
      </c>
      <c r="BJ87" s="1118">
        <v>1.753936099287053</v>
      </c>
      <c r="BK87" s="1118">
        <v>0.8308118365043935</v>
      </c>
      <c r="BL87" s="1114">
        <v>6</v>
      </c>
      <c r="BM87" s="1114">
        <v>3</v>
      </c>
      <c r="BN87" s="1114">
        <v>0</v>
      </c>
      <c r="BO87" s="1114">
        <v>0</v>
      </c>
      <c r="BP87" s="1114">
        <v>0</v>
      </c>
      <c r="BQ87" s="1114">
        <v>0</v>
      </c>
      <c r="BR87" s="1115">
        <v>3.8003610000000001</v>
      </c>
      <c r="BS87" s="1114"/>
      <c r="BT87" s="1114"/>
      <c r="BU87" s="1122" t="s">
        <v>139</v>
      </c>
      <c r="BV87" s="1114"/>
      <c r="BW87" s="1114">
        <v>0</v>
      </c>
      <c r="BX87" s="1114">
        <v>7</v>
      </c>
      <c r="BY87" s="1114">
        <v>0</v>
      </c>
      <c r="BZ87" s="1114">
        <v>0</v>
      </c>
      <c r="CA87" s="1114">
        <v>0</v>
      </c>
      <c r="CB87" s="1114">
        <v>0</v>
      </c>
      <c r="CC87" s="1114">
        <v>0</v>
      </c>
      <c r="CD87" s="1114">
        <v>0</v>
      </c>
      <c r="CE87" s="1122">
        <v>0</v>
      </c>
      <c r="CF87" s="1123">
        <v>2</v>
      </c>
      <c r="CG87" s="1114">
        <v>-0.1</v>
      </c>
      <c r="CH87" s="1114">
        <v>0.60000000000000009</v>
      </c>
      <c r="CI87" s="1114">
        <v>0.5</v>
      </c>
      <c r="CJ87" s="1124">
        <v>1.4705882352941176E-2</v>
      </c>
      <c r="CK87" s="1124">
        <v>4.6156213139132977E-2</v>
      </c>
      <c r="CL87" s="1114">
        <v>11.6</v>
      </c>
      <c r="CM87" s="1114">
        <v>12.3</v>
      </c>
      <c r="CN87" s="1114">
        <v>-6.4</v>
      </c>
      <c r="CO87" s="1114">
        <v>-0.9</v>
      </c>
      <c r="CP87" s="1114">
        <v>-0.4</v>
      </c>
      <c r="CQ87" s="1114">
        <v>0</v>
      </c>
      <c r="CR87" s="1114">
        <v>-1.3</v>
      </c>
      <c r="CS87" s="1125">
        <v>-3.8235294117647062E-2</v>
      </c>
      <c r="CT87" s="1125">
        <v>-0.12000615416174573</v>
      </c>
      <c r="CU87" s="1114"/>
      <c r="CV87" s="1114"/>
      <c r="CW87" s="1114"/>
      <c r="CX87" s="1114"/>
      <c r="CY87" s="1114"/>
      <c r="CZ87" s="1114">
        <v>1775000</v>
      </c>
      <c r="DA87" s="1114"/>
      <c r="DB87" s="1126">
        <v>-4.4170731707317064</v>
      </c>
    </row>
    <row r="88" spans="1:106" x14ac:dyDescent="0.25">
      <c r="A88" s="1127">
        <v>46</v>
      </c>
      <c r="B88" s="1127" t="s">
        <v>597</v>
      </c>
      <c r="C88" s="1127" t="s">
        <v>182</v>
      </c>
      <c r="D88" s="1127" t="s">
        <v>168</v>
      </c>
      <c r="E88" s="1127" t="s">
        <v>106</v>
      </c>
      <c r="F88" s="1127">
        <v>72</v>
      </c>
      <c r="G88" s="1127">
        <v>209</v>
      </c>
      <c r="H88" s="1127" t="s">
        <v>107</v>
      </c>
      <c r="I88" s="1127">
        <v>2009</v>
      </c>
      <c r="J88" s="1127">
        <v>3</v>
      </c>
      <c r="K88" s="1127">
        <v>72</v>
      </c>
      <c r="L88" s="1127" t="s">
        <v>108</v>
      </c>
      <c r="M88" s="1127">
        <v>22</v>
      </c>
      <c r="N88" s="1127" t="s">
        <v>598</v>
      </c>
      <c r="O88" s="1129" t="s">
        <v>301</v>
      </c>
      <c r="P88" s="1129" t="s">
        <v>599</v>
      </c>
      <c r="Q88" s="1127" t="s">
        <v>454</v>
      </c>
      <c r="R88" s="1127"/>
      <c r="S88" s="1127"/>
      <c r="T88" s="1129" t="s">
        <v>113</v>
      </c>
      <c r="U88" s="1127">
        <v>17</v>
      </c>
      <c r="V88" s="1127">
        <v>1</v>
      </c>
      <c r="W88" s="1127">
        <v>3</v>
      </c>
      <c r="X88" s="1127">
        <v>4</v>
      </c>
      <c r="Y88" s="1298">
        <f t="shared" si="1"/>
        <v>0.23529411764705882</v>
      </c>
      <c r="Z88" s="1298" t="s">
        <v>668</v>
      </c>
      <c r="AA88" s="1298">
        <f>38/76</f>
        <v>0.5</v>
      </c>
      <c r="AB88" s="1127">
        <v>0</v>
      </c>
      <c r="AC88" s="1127">
        <v>6</v>
      </c>
      <c r="AD88" s="1127">
        <v>3</v>
      </c>
      <c r="AE88" s="1127">
        <v>3</v>
      </c>
      <c r="AF88" s="1130">
        <v>0.16666666666666666</v>
      </c>
      <c r="AG88" s="1130">
        <v>8.3333333333333329E-2</v>
      </c>
      <c r="AH88" s="1131">
        <v>22.8</v>
      </c>
      <c r="AI88" s="1132">
        <v>3</v>
      </c>
      <c r="AJ88" s="1132">
        <v>0</v>
      </c>
      <c r="AK88" s="1132">
        <v>1</v>
      </c>
      <c r="AL88" s="1128">
        <v>131.0833333333</v>
      </c>
      <c r="AM88" s="1131">
        <v>7.7107843137235292</v>
      </c>
      <c r="AN88" s="1127">
        <v>204</v>
      </c>
      <c r="AO88" s="1131">
        <v>12</v>
      </c>
      <c r="AP88" s="1133">
        <v>0.64256535947696081</v>
      </c>
      <c r="AQ88" s="1132">
        <v>33</v>
      </c>
      <c r="AR88" s="1133">
        <v>15.104895104898947</v>
      </c>
      <c r="AS88" s="1130">
        <v>3.5714285714285712E-2</v>
      </c>
      <c r="AT88" s="1130">
        <v>0.10714285714285714</v>
      </c>
      <c r="AU88" s="1130">
        <v>0.14285714285714285</v>
      </c>
      <c r="AV88" s="1127">
        <v>60</v>
      </c>
      <c r="AW88" s="1127">
        <v>55</v>
      </c>
      <c r="AX88" s="1134">
        <v>0.52173913043478259</v>
      </c>
      <c r="AY88" s="1127">
        <v>10.1</v>
      </c>
      <c r="AZ88" s="1127">
        <v>13</v>
      </c>
      <c r="BA88" s="1127">
        <v>14</v>
      </c>
      <c r="BB88" s="1127">
        <v>2</v>
      </c>
      <c r="BC88" s="1127">
        <v>3</v>
      </c>
      <c r="BD88" s="1127">
        <v>2</v>
      </c>
      <c r="BE88" s="1127">
        <v>3</v>
      </c>
      <c r="BF88" s="1128">
        <v>5.950413223142009</v>
      </c>
      <c r="BG88" s="1131">
        <v>6.4081373172298557</v>
      </c>
      <c r="BH88" s="1131">
        <v>0.91544818817569373</v>
      </c>
      <c r="BI88" s="1131">
        <v>1.3731722822635406</v>
      </c>
      <c r="BJ88" s="1131">
        <v>0.91544818817569373</v>
      </c>
      <c r="BK88" s="1131">
        <v>1.3731722822635406</v>
      </c>
      <c r="BL88" s="1127">
        <v>12</v>
      </c>
      <c r="BM88" s="1127">
        <v>1</v>
      </c>
      <c r="BN88" s="1127">
        <v>2</v>
      </c>
      <c r="BO88" s="1127">
        <v>0</v>
      </c>
      <c r="BP88" s="1127">
        <v>0</v>
      </c>
      <c r="BQ88" s="1127">
        <v>0</v>
      </c>
      <c r="BR88" s="1128">
        <v>1.7598889999999998</v>
      </c>
      <c r="BS88" s="1127"/>
      <c r="BT88" s="1127"/>
      <c r="BU88" s="1135" t="s">
        <v>139</v>
      </c>
      <c r="BV88" s="1127"/>
      <c r="BW88" s="1127">
        <v>0</v>
      </c>
      <c r="BX88" s="1127">
        <v>8</v>
      </c>
      <c r="BY88" s="1127">
        <v>0</v>
      </c>
      <c r="BZ88" s="1127">
        <v>0</v>
      </c>
      <c r="CA88" s="1127">
        <v>0</v>
      </c>
      <c r="CB88" s="1127">
        <v>0</v>
      </c>
      <c r="CC88" s="1127">
        <v>0</v>
      </c>
      <c r="CD88" s="1127">
        <v>0</v>
      </c>
      <c r="CE88" s="1135">
        <v>0</v>
      </c>
      <c r="CF88" s="1136">
        <v>5</v>
      </c>
      <c r="CG88" s="1127">
        <v>0.2</v>
      </c>
      <c r="CH88" s="1127">
        <v>0.1</v>
      </c>
      <c r="CI88" s="1127">
        <v>0.30000000000000004</v>
      </c>
      <c r="CJ88" s="1137">
        <v>1.7647058823529415E-2</v>
      </c>
      <c r="CK88" s="1137">
        <v>0.13731722822635406</v>
      </c>
      <c r="CL88" s="1127">
        <v>2.6</v>
      </c>
      <c r="CM88" s="1127">
        <v>2.9</v>
      </c>
      <c r="CN88" s="1127">
        <v>0.2</v>
      </c>
      <c r="CO88" s="1127">
        <v>0.4</v>
      </c>
      <c r="CP88" s="1127">
        <v>0.30000000000000004</v>
      </c>
      <c r="CQ88" s="1127">
        <v>0</v>
      </c>
      <c r="CR88" s="1127">
        <v>0.7</v>
      </c>
      <c r="CS88" s="1138">
        <v>4.1176470588235294E-2</v>
      </c>
      <c r="CT88" s="1138">
        <v>0.32040686586149275</v>
      </c>
      <c r="CU88" s="1127"/>
      <c r="CV88" s="1127"/>
      <c r="CW88" s="1127"/>
      <c r="CX88" s="1127">
        <v>11</v>
      </c>
      <c r="CY88" s="1127" t="s">
        <v>345</v>
      </c>
      <c r="CZ88" s="1127">
        <v>785833</v>
      </c>
      <c r="DA88" s="1127"/>
      <c r="DB88" s="1139">
        <v>-0.67999941463414637</v>
      </c>
    </row>
    <row r="89" spans="1:106" x14ac:dyDescent="0.25">
      <c r="A89" s="1140">
        <v>84</v>
      </c>
      <c r="B89" s="1140" t="s">
        <v>600</v>
      </c>
      <c r="C89" s="1140" t="s">
        <v>601</v>
      </c>
      <c r="D89" s="1140" t="s">
        <v>242</v>
      </c>
      <c r="E89" s="1140" t="s">
        <v>106</v>
      </c>
      <c r="F89" s="1140">
        <v>73</v>
      </c>
      <c r="G89" s="1140">
        <v>187</v>
      </c>
      <c r="H89" s="1140" t="s">
        <v>107</v>
      </c>
      <c r="I89" s="1140">
        <v>2012</v>
      </c>
      <c r="J89" s="1140">
        <v>2</v>
      </c>
      <c r="K89" s="1140">
        <v>50</v>
      </c>
      <c r="L89" s="1140" t="s">
        <v>108</v>
      </c>
      <c r="M89" s="1140">
        <v>20</v>
      </c>
      <c r="N89" s="1140" t="s">
        <v>602</v>
      </c>
      <c r="O89" s="1142" t="s">
        <v>417</v>
      </c>
      <c r="P89" s="1142" t="s">
        <v>603</v>
      </c>
      <c r="Q89" s="1140" t="s">
        <v>271</v>
      </c>
      <c r="R89" s="1140"/>
      <c r="S89" s="1140"/>
      <c r="T89" s="1142" t="s">
        <v>207</v>
      </c>
      <c r="U89" s="1140">
        <v>17</v>
      </c>
      <c r="V89" s="1140">
        <v>1</v>
      </c>
      <c r="W89" s="1140">
        <v>3</v>
      </c>
      <c r="X89" s="1140">
        <v>4</v>
      </c>
      <c r="Y89" s="1298">
        <f t="shared" si="1"/>
        <v>0.23529411764705882</v>
      </c>
      <c r="Z89" s="1298" t="s">
        <v>668</v>
      </c>
      <c r="AA89" s="1298">
        <f>44/62</f>
        <v>0.70967741935483875</v>
      </c>
      <c r="AB89" s="1140">
        <v>0</v>
      </c>
      <c r="AC89" s="1140">
        <v>13</v>
      </c>
      <c r="AD89" s="1140">
        <v>6</v>
      </c>
      <c r="AE89" s="1140">
        <v>2</v>
      </c>
      <c r="AF89" s="1143">
        <v>7.6923076923076927E-2</v>
      </c>
      <c r="AG89" s="1143">
        <v>4.7619047619047616E-2</v>
      </c>
      <c r="AH89" s="1144">
        <v>26.7</v>
      </c>
      <c r="AI89" s="1145">
        <v>5</v>
      </c>
      <c r="AJ89" s="1145">
        <v>3</v>
      </c>
      <c r="AK89" s="1145">
        <v>0</v>
      </c>
      <c r="AL89" s="1141">
        <v>180.5</v>
      </c>
      <c r="AM89" s="1144">
        <v>10.617647058823529</v>
      </c>
      <c r="AN89" s="1140">
        <v>262</v>
      </c>
      <c r="AO89" s="1144">
        <v>15.411764705882353</v>
      </c>
      <c r="AP89" s="1146">
        <v>0.68893129770992367</v>
      </c>
      <c r="AQ89" s="1145">
        <v>22</v>
      </c>
      <c r="AR89" s="1146">
        <v>7.3130193905817178</v>
      </c>
      <c r="AS89" s="1143">
        <v>2.3809523809523808E-2</v>
      </c>
      <c r="AT89" s="1143">
        <v>7.1428571428571425E-2</v>
      </c>
      <c r="AU89" s="1143">
        <v>9.5238095238095233E-2</v>
      </c>
      <c r="AV89" s="1140">
        <v>70</v>
      </c>
      <c r="AW89" s="1140">
        <v>74</v>
      </c>
      <c r="AX89" s="1147">
        <v>0.4861111111111111</v>
      </c>
      <c r="AY89" s="1140">
        <v>14</v>
      </c>
      <c r="AZ89" s="1140">
        <v>12</v>
      </c>
      <c r="BA89" s="1140">
        <v>9</v>
      </c>
      <c r="BB89" s="1140">
        <v>9</v>
      </c>
      <c r="BC89" s="1140">
        <v>6</v>
      </c>
      <c r="BD89" s="1140">
        <v>2</v>
      </c>
      <c r="BE89" s="1140">
        <v>6</v>
      </c>
      <c r="BF89" s="1141">
        <v>3.9889196675900278</v>
      </c>
      <c r="BG89" s="1144">
        <v>2.9916897506925211</v>
      </c>
      <c r="BH89" s="1144">
        <v>2.9916897506925211</v>
      </c>
      <c r="BI89" s="1144">
        <v>1.9944598337950139</v>
      </c>
      <c r="BJ89" s="1144">
        <v>0.66481994459833793</v>
      </c>
      <c r="BK89" s="1144">
        <v>1.9944598337950139</v>
      </c>
      <c r="BL89" s="1140">
        <v>4</v>
      </c>
      <c r="BM89" s="1140">
        <v>2</v>
      </c>
      <c r="BN89" s="1140">
        <v>0</v>
      </c>
      <c r="BO89" s="1140">
        <v>0</v>
      </c>
      <c r="BP89" s="1140">
        <v>0</v>
      </c>
      <c r="BQ89" s="1140">
        <v>0</v>
      </c>
      <c r="BR89" s="1141">
        <v>-1.3347500000000001</v>
      </c>
      <c r="BS89" s="1140"/>
      <c r="BT89" s="1140"/>
      <c r="BU89" s="1148" t="s">
        <v>139</v>
      </c>
      <c r="BV89" s="1140"/>
      <c r="BW89" s="1140">
        <v>1</v>
      </c>
      <c r="BX89" s="1140">
        <v>5</v>
      </c>
      <c r="BY89" s="1140">
        <v>0</v>
      </c>
      <c r="BZ89" s="1140">
        <v>0</v>
      </c>
      <c r="CA89" s="1140">
        <v>0</v>
      </c>
      <c r="CB89" s="1140">
        <v>0</v>
      </c>
      <c r="CC89" s="1140">
        <v>0</v>
      </c>
      <c r="CD89" s="1140">
        <v>0</v>
      </c>
      <c r="CE89" s="1148">
        <v>0</v>
      </c>
      <c r="CF89" s="1149">
        <v>3</v>
      </c>
      <c r="CG89" s="1140">
        <v>0.1</v>
      </c>
      <c r="CH89" s="1140">
        <v>0.2</v>
      </c>
      <c r="CI89" s="1140">
        <v>0.30000000000000004</v>
      </c>
      <c r="CJ89" s="1150">
        <v>1.7647058823529415E-2</v>
      </c>
      <c r="CK89" s="1150">
        <v>9.9722991689750712E-2</v>
      </c>
      <c r="CL89" s="1140">
        <v>3.2</v>
      </c>
      <c r="CM89" s="1140">
        <v>3.2</v>
      </c>
      <c r="CN89" s="1140">
        <v>0.7</v>
      </c>
      <c r="CO89" s="1140">
        <v>0.1</v>
      </c>
      <c r="CP89" s="1140">
        <v>0.4</v>
      </c>
      <c r="CQ89" s="1140">
        <v>0</v>
      </c>
      <c r="CR89" s="1140">
        <v>0.5</v>
      </c>
      <c r="CS89" s="1151">
        <v>2.9411764705882353E-2</v>
      </c>
      <c r="CT89" s="1151">
        <v>0.16620498614958448</v>
      </c>
      <c r="CU89" s="1140"/>
      <c r="CV89" s="1140"/>
      <c r="CW89" s="1140"/>
      <c r="CX89" s="1140"/>
      <c r="CY89" s="1140"/>
      <c r="CZ89" s="1140">
        <v>878333</v>
      </c>
      <c r="DA89" s="1140"/>
      <c r="DB89" s="1152">
        <v>-1.0424384390243902</v>
      </c>
    </row>
    <row r="90" spans="1:106" x14ac:dyDescent="0.25">
      <c r="A90" s="1153">
        <v>67</v>
      </c>
      <c r="B90" s="1153" t="s">
        <v>604</v>
      </c>
      <c r="C90" s="1153" t="s">
        <v>605</v>
      </c>
      <c r="D90" s="1153"/>
      <c r="E90" s="1153" t="s">
        <v>190</v>
      </c>
      <c r="F90" s="1153">
        <v>73</v>
      </c>
      <c r="G90" s="1153">
        <v>192</v>
      </c>
      <c r="H90" s="1153" t="s">
        <v>107</v>
      </c>
      <c r="I90" s="1153">
        <v>2011</v>
      </c>
      <c r="J90" s="1153">
        <v>1</v>
      </c>
      <c r="K90" s="1153">
        <v>30</v>
      </c>
      <c r="L90" s="1153" t="s">
        <v>108</v>
      </c>
      <c r="M90" s="1153">
        <v>20</v>
      </c>
      <c r="N90" s="1153" t="s">
        <v>606</v>
      </c>
      <c r="O90" s="1155" t="s">
        <v>607</v>
      </c>
      <c r="P90" s="1155" t="s">
        <v>608</v>
      </c>
      <c r="Q90" s="1153" t="s">
        <v>194</v>
      </c>
      <c r="R90" s="1153"/>
      <c r="S90" s="1153"/>
      <c r="T90" s="1155" t="s">
        <v>207</v>
      </c>
      <c r="U90" s="1153">
        <v>18</v>
      </c>
      <c r="V90" s="1153">
        <v>0</v>
      </c>
      <c r="W90" s="1153">
        <v>4</v>
      </c>
      <c r="X90" s="1153">
        <v>4</v>
      </c>
      <c r="Y90" s="1298">
        <f t="shared" si="1"/>
        <v>0.22222222222222221</v>
      </c>
      <c r="Z90" s="1298" t="s">
        <v>668</v>
      </c>
      <c r="AA90" s="1298">
        <f>37/46</f>
        <v>0.80434782608695654</v>
      </c>
      <c r="AB90" s="1153">
        <v>-3</v>
      </c>
      <c r="AC90" s="1153">
        <v>22</v>
      </c>
      <c r="AD90" s="1153">
        <v>18</v>
      </c>
      <c r="AE90" s="1153">
        <v>14</v>
      </c>
      <c r="AF90" s="1156">
        <v>0</v>
      </c>
      <c r="AG90" s="1156">
        <v>0</v>
      </c>
      <c r="AH90" s="1157">
        <v>27.8</v>
      </c>
      <c r="AI90" s="1158">
        <v>13</v>
      </c>
      <c r="AJ90" s="1158">
        <v>3</v>
      </c>
      <c r="AK90" s="1158">
        <v>1</v>
      </c>
      <c r="AL90" s="1154">
        <v>210.96666666670001</v>
      </c>
      <c r="AM90" s="1157">
        <v>11.720370370372223</v>
      </c>
      <c r="AN90" s="1153">
        <v>281</v>
      </c>
      <c r="AO90" s="1157">
        <v>15.611111111111111</v>
      </c>
      <c r="AP90" s="1159">
        <v>0.75077105575338077</v>
      </c>
      <c r="AQ90" s="1158">
        <v>65.400000000000006</v>
      </c>
      <c r="AR90" s="1159">
        <v>18.600094801703495</v>
      </c>
      <c r="AS90" s="1156">
        <v>0</v>
      </c>
      <c r="AT90" s="1156">
        <v>5.1948051948051951E-2</v>
      </c>
      <c r="AU90" s="1156">
        <v>5.1948051948051951E-2</v>
      </c>
      <c r="AV90" s="1153">
        <v>95</v>
      </c>
      <c r="AW90" s="1153">
        <v>99</v>
      </c>
      <c r="AX90" s="1160">
        <v>0.48969072164948452</v>
      </c>
      <c r="AY90" s="1153">
        <v>16.7</v>
      </c>
      <c r="AZ90" s="1153">
        <v>28</v>
      </c>
      <c r="BA90" s="1153">
        <v>21</v>
      </c>
      <c r="BB90" s="1153">
        <v>4</v>
      </c>
      <c r="BC90" s="1153">
        <v>18</v>
      </c>
      <c r="BD90" s="1153">
        <v>4</v>
      </c>
      <c r="BE90" s="1153">
        <v>5</v>
      </c>
      <c r="BF90" s="1154">
        <v>7.9633433401788647</v>
      </c>
      <c r="BG90" s="1157">
        <v>5.9725075051341481</v>
      </c>
      <c r="BH90" s="1157">
        <v>1.1376204771684093</v>
      </c>
      <c r="BI90" s="1157">
        <v>5.1192921472578412</v>
      </c>
      <c r="BJ90" s="1157">
        <v>1.1376204771684093</v>
      </c>
      <c r="BK90" s="1157">
        <v>1.4220255964605115</v>
      </c>
      <c r="BL90" s="1153">
        <v>2</v>
      </c>
      <c r="BM90" s="1153">
        <v>1</v>
      </c>
      <c r="BN90" s="1153">
        <v>0</v>
      </c>
      <c r="BO90" s="1153">
        <v>0</v>
      </c>
      <c r="BP90" s="1153">
        <v>0</v>
      </c>
      <c r="BQ90" s="1153">
        <v>0</v>
      </c>
      <c r="BR90" s="1154">
        <v>-0.36231399999999997</v>
      </c>
      <c r="BS90" s="1153">
        <v>1</v>
      </c>
      <c r="BT90" s="1153">
        <v>0</v>
      </c>
      <c r="BU90" s="1161">
        <v>0</v>
      </c>
      <c r="BV90" s="1153">
        <v>0</v>
      </c>
      <c r="BW90" s="1153">
        <v>0</v>
      </c>
      <c r="BX90" s="1153">
        <v>5</v>
      </c>
      <c r="BY90" s="1153">
        <v>0</v>
      </c>
      <c r="BZ90" s="1153">
        <v>0</v>
      </c>
      <c r="CA90" s="1153">
        <v>0</v>
      </c>
      <c r="CB90" s="1153">
        <v>0</v>
      </c>
      <c r="CC90" s="1153">
        <v>0</v>
      </c>
      <c r="CD90" s="1153">
        <v>0</v>
      </c>
      <c r="CE90" s="1161">
        <v>0</v>
      </c>
      <c r="CF90" s="1162">
        <v>3</v>
      </c>
      <c r="CG90" s="1153">
        <v>-0.1</v>
      </c>
      <c r="CH90" s="1153">
        <v>0</v>
      </c>
      <c r="CI90" s="1153">
        <v>-0.1</v>
      </c>
      <c r="CJ90" s="1163">
        <v>-5.5555555555555558E-3</v>
      </c>
      <c r="CK90" s="1163">
        <v>-2.8440511929210231E-2</v>
      </c>
      <c r="CL90" s="1153">
        <v>3.7</v>
      </c>
      <c r="CM90" s="1153">
        <v>3.3</v>
      </c>
      <c r="CN90" s="1153">
        <v>-4.5999999999999996</v>
      </c>
      <c r="CO90" s="1153">
        <v>-0.30000000000000004</v>
      </c>
      <c r="CP90" s="1153">
        <v>-0.1</v>
      </c>
      <c r="CQ90" s="1153">
        <v>-0.30000000000000004</v>
      </c>
      <c r="CR90" s="1153">
        <v>-0.7</v>
      </c>
      <c r="CS90" s="1164">
        <v>-3.888888888888889E-2</v>
      </c>
      <c r="CT90" s="1164">
        <v>-0.19908358350447161</v>
      </c>
      <c r="CU90" s="1153"/>
      <c r="CV90" s="1153"/>
      <c r="CW90" s="1153"/>
      <c r="CX90" s="1153"/>
      <c r="CY90" s="1153"/>
      <c r="CZ90" s="1153">
        <v>894167</v>
      </c>
      <c r="DA90" s="1153"/>
      <c r="DB90" s="1165">
        <v>-2.2702444878048782</v>
      </c>
    </row>
    <row r="91" spans="1:106" ht="26.25" x14ac:dyDescent="0.25">
      <c r="A91" s="1166">
        <v>56</v>
      </c>
      <c r="B91" s="1166" t="s">
        <v>609</v>
      </c>
      <c r="C91" s="1166" t="s">
        <v>610</v>
      </c>
      <c r="D91" s="1166" t="s">
        <v>242</v>
      </c>
      <c r="E91" s="1166" t="s">
        <v>106</v>
      </c>
      <c r="F91" s="1166">
        <v>74</v>
      </c>
      <c r="G91" s="1166">
        <v>210</v>
      </c>
      <c r="H91" s="1166" t="s">
        <v>117</v>
      </c>
      <c r="I91" s="1166">
        <v>2011</v>
      </c>
      <c r="J91" s="1166">
        <v>2</v>
      </c>
      <c r="K91" s="1166">
        <v>57</v>
      </c>
      <c r="L91" s="1166" t="s">
        <v>108</v>
      </c>
      <c r="M91" s="1166">
        <v>20</v>
      </c>
      <c r="N91" s="1166" t="s">
        <v>611</v>
      </c>
      <c r="O91" s="1168" t="s">
        <v>129</v>
      </c>
      <c r="P91" s="1168" t="s">
        <v>612</v>
      </c>
      <c r="Q91" s="1166" t="s">
        <v>172</v>
      </c>
      <c r="R91" s="1166"/>
      <c r="S91" s="1166"/>
      <c r="T91" s="1168" t="s">
        <v>138</v>
      </c>
      <c r="U91" s="1166">
        <v>14</v>
      </c>
      <c r="V91" s="1166">
        <v>0</v>
      </c>
      <c r="W91" s="1166">
        <v>4</v>
      </c>
      <c r="X91" s="1166">
        <v>4</v>
      </c>
      <c r="Y91" s="1298">
        <f t="shared" si="1"/>
        <v>0.2857142857142857</v>
      </c>
      <c r="Z91" s="1298" t="s">
        <v>668</v>
      </c>
      <c r="AA91" s="1298">
        <f>9/48</f>
        <v>0.1875</v>
      </c>
      <c r="AB91" s="1166">
        <v>-3</v>
      </c>
      <c r="AC91" s="1166">
        <v>3</v>
      </c>
      <c r="AD91" s="1166">
        <v>4</v>
      </c>
      <c r="AE91" s="1166">
        <v>10</v>
      </c>
      <c r="AF91" s="1169">
        <v>0</v>
      </c>
      <c r="AG91" s="1169">
        <v>0</v>
      </c>
      <c r="AH91" s="1170">
        <v>60.1</v>
      </c>
      <c r="AI91" s="1171">
        <v>2</v>
      </c>
      <c r="AJ91" s="1171">
        <v>0</v>
      </c>
      <c r="AK91" s="1171">
        <v>1</v>
      </c>
      <c r="AL91" s="1167">
        <v>188.3</v>
      </c>
      <c r="AM91" s="1170">
        <v>13.450000000000001</v>
      </c>
      <c r="AN91" s="1166">
        <v>259</v>
      </c>
      <c r="AO91" s="1170">
        <v>18.5</v>
      </c>
      <c r="AP91" s="1172">
        <v>0.72702702702702704</v>
      </c>
      <c r="AQ91" s="1171">
        <v>34.285713999999999</v>
      </c>
      <c r="AR91" s="1172">
        <v>10.924815932023366</v>
      </c>
      <c r="AS91" s="1169">
        <v>0</v>
      </c>
      <c r="AT91" s="1169">
        <v>0.14285714285714285</v>
      </c>
      <c r="AU91" s="1169">
        <v>0.14285714285714285</v>
      </c>
      <c r="AV91" s="1166">
        <v>0</v>
      </c>
      <c r="AW91" s="1166">
        <v>0</v>
      </c>
      <c r="AX91" s="1173">
        <v>0</v>
      </c>
      <c r="AY91" s="1166">
        <v>0</v>
      </c>
      <c r="AZ91" s="1166">
        <v>12</v>
      </c>
      <c r="BA91" s="1166">
        <v>8</v>
      </c>
      <c r="BB91" s="1166">
        <v>17</v>
      </c>
      <c r="BC91" s="1166">
        <v>4</v>
      </c>
      <c r="BD91" s="1166">
        <v>4</v>
      </c>
      <c r="BE91" s="1166">
        <v>2</v>
      </c>
      <c r="BF91" s="1167">
        <v>3.8236856080722252</v>
      </c>
      <c r="BG91" s="1170">
        <v>2.5491237387148167</v>
      </c>
      <c r="BH91" s="1170">
        <v>5.4168879447689857</v>
      </c>
      <c r="BI91" s="1170">
        <v>1.2745618693574083</v>
      </c>
      <c r="BJ91" s="1170">
        <v>1.2745618693574083</v>
      </c>
      <c r="BK91" s="1170">
        <v>0.63728093467870417</v>
      </c>
      <c r="BL91" s="1166">
        <v>4</v>
      </c>
      <c r="BM91" s="1166">
        <v>2</v>
      </c>
      <c r="BN91" s="1166">
        <v>0</v>
      </c>
      <c r="BO91" s="1166">
        <v>0</v>
      </c>
      <c r="BP91" s="1166">
        <v>0</v>
      </c>
      <c r="BQ91" s="1166">
        <v>0</v>
      </c>
      <c r="BR91" s="1167">
        <v>-1.0897939999999999</v>
      </c>
      <c r="BS91" s="1166"/>
      <c r="BT91" s="1166"/>
      <c r="BU91" s="1174" t="s">
        <v>139</v>
      </c>
      <c r="BV91" s="1166"/>
      <c r="BW91" s="1166">
        <v>0</v>
      </c>
      <c r="BX91" s="1166">
        <v>2</v>
      </c>
      <c r="BY91" s="1166">
        <v>0</v>
      </c>
      <c r="BZ91" s="1166">
        <v>0</v>
      </c>
      <c r="CA91" s="1166">
        <v>0</v>
      </c>
      <c r="CB91" s="1166">
        <v>0</v>
      </c>
      <c r="CC91" s="1166">
        <v>0</v>
      </c>
      <c r="CD91" s="1166">
        <v>0</v>
      </c>
      <c r="CE91" s="1174">
        <v>0</v>
      </c>
      <c r="CF91" s="1175">
        <v>4</v>
      </c>
      <c r="CG91" s="1166">
        <v>0.2</v>
      </c>
      <c r="CH91" s="1166">
        <v>0.2</v>
      </c>
      <c r="CI91" s="1166">
        <v>0.4</v>
      </c>
      <c r="CJ91" s="1176">
        <v>2.8571428571428574E-2</v>
      </c>
      <c r="CK91" s="1176">
        <v>0.12745618693574082</v>
      </c>
      <c r="CL91" s="1166">
        <v>3.8</v>
      </c>
      <c r="CM91" s="1166">
        <v>4.3</v>
      </c>
      <c r="CN91" s="1166">
        <v>-1.2</v>
      </c>
      <c r="CO91" s="1166">
        <v>0.5</v>
      </c>
      <c r="CP91" s="1166">
        <v>0.30000000000000004</v>
      </c>
      <c r="CQ91" s="1166">
        <v>0</v>
      </c>
      <c r="CR91" s="1166">
        <v>0.8</v>
      </c>
      <c r="CS91" s="1177">
        <v>5.7142857142857148E-2</v>
      </c>
      <c r="CT91" s="1177">
        <v>0.25491237387148163</v>
      </c>
      <c r="CU91" s="1166"/>
      <c r="CV91" s="1166"/>
      <c r="CW91" s="1166"/>
      <c r="CX91" s="1166">
        <v>6</v>
      </c>
      <c r="CY91" s="1166" t="s">
        <v>123</v>
      </c>
      <c r="CZ91" s="1166">
        <v>925000</v>
      </c>
      <c r="DA91" s="1166"/>
      <c r="DB91" s="1178">
        <v>-0.82439024390243865</v>
      </c>
    </row>
    <row r="92" spans="1:106" x14ac:dyDescent="0.25">
      <c r="A92" s="1179">
        <v>22</v>
      </c>
      <c r="B92" s="1179" t="s">
        <v>613</v>
      </c>
      <c r="C92" s="1179" t="s">
        <v>614</v>
      </c>
      <c r="D92" s="1179"/>
      <c r="E92" s="1179" t="s">
        <v>190</v>
      </c>
      <c r="F92" s="1179">
        <v>71</v>
      </c>
      <c r="G92" s="1179">
        <v>206</v>
      </c>
      <c r="H92" s="1179" t="s">
        <v>117</v>
      </c>
      <c r="I92" s="1179">
        <v>2010</v>
      </c>
      <c r="J92" s="1179">
        <v>2</v>
      </c>
      <c r="K92" s="1179">
        <v>56</v>
      </c>
      <c r="L92" s="1179" t="s">
        <v>108</v>
      </c>
      <c r="M92" s="1179">
        <v>21</v>
      </c>
      <c r="N92" s="1179" t="s">
        <v>615</v>
      </c>
      <c r="O92" s="1181" t="s">
        <v>616</v>
      </c>
      <c r="P92" s="1181" t="s">
        <v>617</v>
      </c>
      <c r="Q92" s="1179" t="s">
        <v>311</v>
      </c>
      <c r="R92" s="1179"/>
      <c r="S92" s="1179"/>
      <c r="T92" s="1181" t="s">
        <v>122</v>
      </c>
      <c r="U92" s="1179">
        <v>28</v>
      </c>
      <c r="V92" s="1179">
        <v>0</v>
      </c>
      <c r="W92" s="1179">
        <v>4</v>
      </c>
      <c r="X92" s="1179">
        <v>4</v>
      </c>
      <c r="Y92" s="1298">
        <f t="shared" si="1"/>
        <v>0.14285714285714285</v>
      </c>
      <c r="Z92" s="1298" t="s">
        <v>668</v>
      </c>
      <c r="AA92" s="1298">
        <f>4/7</f>
        <v>0.5714285714285714</v>
      </c>
      <c r="AB92" s="1179">
        <v>0</v>
      </c>
      <c r="AC92" s="1179">
        <v>21</v>
      </c>
      <c r="AD92" s="1179">
        <v>14</v>
      </c>
      <c r="AE92" s="1179">
        <v>8</v>
      </c>
      <c r="AF92" s="1182">
        <v>0</v>
      </c>
      <c r="AG92" s="1182">
        <v>0</v>
      </c>
      <c r="AH92" s="1183">
        <v>31.1</v>
      </c>
      <c r="AI92" s="1184">
        <v>12</v>
      </c>
      <c r="AJ92" s="1184">
        <v>3</v>
      </c>
      <c r="AK92" s="1184">
        <v>3</v>
      </c>
      <c r="AL92" s="1180">
        <v>376.68333333330003</v>
      </c>
      <c r="AM92" s="1183">
        <v>13.452976190475001</v>
      </c>
      <c r="AN92" s="1179">
        <v>491</v>
      </c>
      <c r="AO92" s="1183">
        <v>17.535714285714285</v>
      </c>
      <c r="AP92" s="1185">
        <v>0.76717583163604897</v>
      </c>
      <c r="AQ92" s="1184">
        <v>36</v>
      </c>
      <c r="AR92" s="1185">
        <v>5.7342595460382926</v>
      </c>
      <c r="AS92" s="1182">
        <v>0</v>
      </c>
      <c r="AT92" s="1182">
        <v>5.5555555555555552E-2</v>
      </c>
      <c r="AU92" s="1182">
        <v>5.5555555555555552E-2</v>
      </c>
      <c r="AV92" s="1179">
        <v>135</v>
      </c>
      <c r="AW92" s="1179">
        <v>150</v>
      </c>
      <c r="AX92" s="1186">
        <v>0.47368421052631576</v>
      </c>
      <c r="AY92" s="1179">
        <v>16.899999999999999</v>
      </c>
      <c r="AZ92" s="1179">
        <v>42</v>
      </c>
      <c r="BA92" s="1179">
        <v>52</v>
      </c>
      <c r="BB92" s="1179">
        <v>19</v>
      </c>
      <c r="BC92" s="1179">
        <v>14</v>
      </c>
      <c r="BD92" s="1179">
        <v>3</v>
      </c>
      <c r="BE92" s="1179">
        <v>9</v>
      </c>
      <c r="BF92" s="1180">
        <v>6.689969470378009</v>
      </c>
      <c r="BG92" s="1183">
        <v>8.2828193442775344</v>
      </c>
      <c r="BH92" s="1183">
        <v>3.0264147604090992</v>
      </c>
      <c r="BI92" s="1183">
        <v>2.2299898234593361</v>
      </c>
      <c r="BJ92" s="1183">
        <v>0.47785496216985768</v>
      </c>
      <c r="BK92" s="1183">
        <v>1.4335648865095731</v>
      </c>
      <c r="BL92" s="1179">
        <v>19</v>
      </c>
      <c r="BM92" s="1179">
        <v>7</v>
      </c>
      <c r="BN92" s="1179">
        <v>1</v>
      </c>
      <c r="BO92" s="1179">
        <v>0</v>
      </c>
      <c r="BP92" s="1179">
        <v>0</v>
      </c>
      <c r="BQ92" s="1179">
        <v>0</v>
      </c>
      <c r="BR92" s="1180">
        <v>-1.677325</v>
      </c>
      <c r="BS92" s="1179"/>
      <c r="BT92" s="1179"/>
      <c r="BU92" s="1187" t="s">
        <v>139</v>
      </c>
      <c r="BV92" s="1179"/>
      <c r="BW92" s="1179">
        <v>0</v>
      </c>
      <c r="BX92" s="1179">
        <v>6</v>
      </c>
      <c r="BY92" s="1179">
        <v>0</v>
      </c>
      <c r="BZ92" s="1179">
        <v>0</v>
      </c>
      <c r="CA92" s="1179">
        <v>0</v>
      </c>
      <c r="CB92" s="1179">
        <v>0</v>
      </c>
      <c r="CC92" s="1179">
        <v>0</v>
      </c>
      <c r="CD92" s="1179">
        <v>0</v>
      </c>
      <c r="CE92" s="1187">
        <v>0</v>
      </c>
      <c r="CF92" s="1188">
        <v>4</v>
      </c>
      <c r="CG92" s="1179">
        <v>-0.60000000000000009</v>
      </c>
      <c r="CH92" s="1179">
        <v>0.60000000000000009</v>
      </c>
      <c r="CI92" s="1179">
        <v>0</v>
      </c>
      <c r="CJ92" s="1189">
        <v>0</v>
      </c>
      <c r="CK92" s="1189">
        <v>0</v>
      </c>
      <c r="CL92" s="1179">
        <v>4.7</v>
      </c>
      <c r="CM92" s="1179">
        <v>5.6</v>
      </c>
      <c r="CN92" s="1179">
        <v>2.6</v>
      </c>
      <c r="CO92" s="1179">
        <v>-0.7</v>
      </c>
      <c r="CP92" s="1179">
        <v>0.8</v>
      </c>
      <c r="CQ92" s="1179">
        <v>0</v>
      </c>
      <c r="CR92" s="1179">
        <v>0.1</v>
      </c>
      <c r="CS92" s="1190">
        <v>3.5714285714285718E-3</v>
      </c>
      <c r="CT92" s="1190">
        <v>1.5928498738995257E-2</v>
      </c>
      <c r="CU92" s="1179"/>
      <c r="CV92" s="1179"/>
      <c r="CW92" s="1179"/>
      <c r="CX92" s="1179"/>
      <c r="CY92" s="1179"/>
      <c r="CZ92" s="1179">
        <v>870000</v>
      </c>
      <c r="DA92" s="1179"/>
      <c r="DB92" s="1191">
        <v>-1.4278048780487804</v>
      </c>
    </row>
    <row r="93" spans="1:106" x14ac:dyDescent="0.25">
      <c r="A93" s="1192">
        <v>29</v>
      </c>
      <c r="B93" s="1192" t="s">
        <v>618</v>
      </c>
      <c r="C93" s="1192" t="s">
        <v>619</v>
      </c>
      <c r="D93" s="1192" t="s">
        <v>168</v>
      </c>
      <c r="E93" s="1192" t="s">
        <v>106</v>
      </c>
      <c r="F93" s="1192">
        <v>71</v>
      </c>
      <c r="G93" s="1192">
        <v>200</v>
      </c>
      <c r="H93" s="1192" t="s">
        <v>107</v>
      </c>
      <c r="I93" s="1192">
        <v>2009</v>
      </c>
      <c r="J93" s="1192">
        <v>4</v>
      </c>
      <c r="K93" s="1192">
        <v>97</v>
      </c>
      <c r="L93" s="1192" t="s">
        <v>108</v>
      </c>
      <c r="M93" s="1192">
        <v>22</v>
      </c>
      <c r="N93" s="1192" t="s">
        <v>620</v>
      </c>
      <c r="O93" s="1194" t="s">
        <v>621</v>
      </c>
      <c r="P93" s="1194" t="s">
        <v>622</v>
      </c>
      <c r="Q93" s="1192" t="s">
        <v>504</v>
      </c>
      <c r="R93" s="1192"/>
      <c r="S93" s="1192"/>
      <c r="T93" s="1194" t="s">
        <v>164</v>
      </c>
      <c r="U93" s="1192">
        <v>26</v>
      </c>
      <c r="V93" s="1192">
        <v>3</v>
      </c>
      <c r="W93" s="1192">
        <v>0</v>
      </c>
      <c r="X93" s="1192">
        <v>3</v>
      </c>
      <c r="Y93" s="1298">
        <f t="shared" si="1"/>
        <v>0.11538461538461539</v>
      </c>
      <c r="Z93" s="1298" t="s">
        <v>668</v>
      </c>
      <c r="AA93" s="1298">
        <f>14/27</f>
        <v>0.51851851851851849</v>
      </c>
      <c r="AB93" s="1192">
        <v>-6</v>
      </c>
      <c r="AC93" s="1192">
        <v>25</v>
      </c>
      <c r="AD93" s="1192">
        <v>7</v>
      </c>
      <c r="AE93" s="1192">
        <v>5</v>
      </c>
      <c r="AF93" s="1195">
        <v>0.12</v>
      </c>
      <c r="AG93" s="1195">
        <v>8.1081081081081086E-2</v>
      </c>
      <c r="AH93" s="1196">
        <v>37.299999999999997</v>
      </c>
      <c r="AI93" s="1197">
        <v>18</v>
      </c>
      <c r="AJ93" s="1197">
        <v>0</v>
      </c>
      <c r="AK93" s="1197">
        <v>2</v>
      </c>
      <c r="AL93" s="1193">
        <v>224.8166666667</v>
      </c>
      <c r="AM93" s="1196">
        <v>8.6467948717961534</v>
      </c>
      <c r="AN93" s="1192">
        <v>341</v>
      </c>
      <c r="AO93" s="1196">
        <v>13.115384615384615</v>
      </c>
      <c r="AP93" s="1198">
        <v>0.65928641251231668</v>
      </c>
      <c r="AQ93" s="1197">
        <v>0</v>
      </c>
      <c r="AR93" s="1198">
        <v>0</v>
      </c>
      <c r="AS93" s="1195">
        <v>7.1428571428571425E-2</v>
      </c>
      <c r="AT93" s="1195">
        <v>0</v>
      </c>
      <c r="AU93" s="1195">
        <v>7.1428571428571425E-2</v>
      </c>
      <c r="AV93" s="1192">
        <v>1</v>
      </c>
      <c r="AW93" s="1192">
        <v>2</v>
      </c>
      <c r="AX93" s="1199">
        <v>0.33333333333333331</v>
      </c>
      <c r="AY93" s="1192">
        <v>0.1</v>
      </c>
      <c r="AZ93" s="1192">
        <v>30</v>
      </c>
      <c r="BA93" s="1192">
        <v>23</v>
      </c>
      <c r="BB93" s="1192">
        <v>7</v>
      </c>
      <c r="BC93" s="1192">
        <v>7</v>
      </c>
      <c r="BD93" s="1192">
        <v>1</v>
      </c>
      <c r="BE93" s="1192">
        <v>7</v>
      </c>
      <c r="BF93" s="1193">
        <v>8.0065238342341161</v>
      </c>
      <c r="BG93" s="1196">
        <v>6.1383349395794884</v>
      </c>
      <c r="BH93" s="1196">
        <v>1.868188894654627</v>
      </c>
      <c r="BI93" s="1196">
        <v>1.868188894654627</v>
      </c>
      <c r="BJ93" s="1196">
        <v>0.26688412780780385</v>
      </c>
      <c r="BK93" s="1196">
        <v>1.868188894654627</v>
      </c>
      <c r="BL93" s="1192">
        <v>19</v>
      </c>
      <c r="BM93" s="1192">
        <v>2</v>
      </c>
      <c r="BN93" s="1192">
        <v>1</v>
      </c>
      <c r="BO93" s="1192">
        <v>1</v>
      </c>
      <c r="BP93" s="1192">
        <v>0</v>
      </c>
      <c r="BQ93" s="1192">
        <v>0</v>
      </c>
      <c r="BR93" s="1193">
        <v>-3.4191419999999999</v>
      </c>
      <c r="BS93" s="1192"/>
      <c r="BT93" s="1192"/>
      <c r="BU93" s="1200" t="s">
        <v>139</v>
      </c>
      <c r="BV93" s="1192"/>
      <c r="BW93" s="1192">
        <v>1</v>
      </c>
      <c r="BX93" s="1192">
        <v>10</v>
      </c>
      <c r="BY93" s="1192">
        <v>0</v>
      </c>
      <c r="BZ93" s="1192">
        <v>0</v>
      </c>
      <c r="CA93" s="1192">
        <v>1</v>
      </c>
      <c r="CB93" s="1192">
        <v>0</v>
      </c>
      <c r="CC93" s="1192">
        <v>0</v>
      </c>
      <c r="CD93" s="1192">
        <v>0</v>
      </c>
      <c r="CE93" s="1200">
        <v>0</v>
      </c>
      <c r="CF93" s="1201">
        <v>3</v>
      </c>
      <c r="CG93" s="1192">
        <v>0</v>
      </c>
      <c r="CH93" s="1192">
        <v>0</v>
      </c>
      <c r="CI93" s="1192">
        <v>0</v>
      </c>
      <c r="CJ93" s="1202">
        <v>0</v>
      </c>
      <c r="CK93" s="1202">
        <v>0</v>
      </c>
      <c r="CL93" s="1192">
        <v>4.4000000000000004</v>
      </c>
      <c r="CM93" s="1192">
        <v>5.2</v>
      </c>
      <c r="CN93" s="1192">
        <v>-5.8</v>
      </c>
      <c r="CO93" s="1192">
        <v>-0.5</v>
      </c>
      <c r="CP93" s="1192">
        <v>0.1</v>
      </c>
      <c r="CQ93" s="1192">
        <v>0</v>
      </c>
      <c r="CR93" s="1192">
        <v>-0.4</v>
      </c>
      <c r="CS93" s="1203">
        <v>-1.5384615384615385E-2</v>
      </c>
      <c r="CT93" s="1203">
        <v>-0.10675365112312155</v>
      </c>
      <c r="CU93" s="1192"/>
      <c r="CV93" s="1192"/>
      <c r="CW93" s="1192"/>
      <c r="CX93" s="1192"/>
      <c r="CY93" s="1192"/>
      <c r="CZ93" s="1192">
        <v>673353</v>
      </c>
      <c r="DA93" s="1192"/>
      <c r="DB93" s="1204">
        <v>-1.5824735609756098</v>
      </c>
    </row>
    <row r="94" spans="1:106" x14ac:dyDescent="0.25">
      <c r="A94" s="1205">
        <v>60</v>
      </c>
      <c r="B94" s="1205" t="s">
        <v>623</v>
      </c>
      <c r="C94" s="1205" t="s">
        <v>624</v>
      </c>
      <c r="D94" s="1205"/>
      <c r="E94" s="1205" t="s">
        <v>221</v>
      </c>
      <c r="F94" s="1205">
        <v>71</v>
      </c>
      <c r="G94" s="1205">
        <v>185</v>
      </c>
      <c r="H94" s="1205" t="s">
        <v>117</v>
      </c>
      <c r="I94" s="1205">
        <v>2011</v>
      </c>
      <c r="J94" s="1205">
        <v>2</v>
      </c>
      <c r="K94" s="1205">
        <v>45</v>
      </c>
      <c r="L94" s="1205" t="s">
        <v>108</v>
      </c>
      <c r="M94" s="1205">
        <v>20</v>
      </c>
      <c r="N94" s="1205" t="s">
        <v>625</v>
      </c>
      <c r="O94" s="1207" t="s">
        <v>626</v>
      </c>
      <c r="P94" s="1207" t="s">
        <v>627</v>
      </c>
      <c r="Q94" s="1205" t="s">
        <v>172</v>
      </c>
      <c r="R94" s="1205"/>
      <c r="S94" s="1205"/>
      <c r="T94" s="1207" t="s">
        <v>113</v>
      </c>
      <c r="U94" s="1205">
        <v>7</v>
      </c>
      <c r="V94" s="1205">
        <v>2</v>
      </c>
      <c r="W94" s="1205">
        <v>1</v>
      </c>
      <c r="X94" s="1205">
        <v>3</v>
      </c>
      <c r="Y94" s="1298">
        <f t="shared" si="1"/>
        <v>0.42857142857142855</v>
      </c>
      <c r="Z94" s="1298" t="s">
        <v>668</v>
      </c>
      <c r="AA94" s="1298">
        <f>46/52</f>
        <v>0.88461538461538458</v>
      </c>
      <c r="AB94" s="1205">
        <v>2</v>
      </c>
      <c r="AC94" s="1205">
        <v>9</v>
      </c>
      <c r="AD94" s="1205">
        <v>2</v>
      </c>
      <c r="AE94" s="1205">
        <v>1</v>
      </c>
      <c r="AF94" s="1208">
        <v>0.22222222222222221</v>
      </c>
      <c r="AG94" s="1208">
        <v>0.16666666666666666</v>
      </c>
      <c r="AH94" s="1209">
        <v>31.7</v>
      </c>
      <c r="AI94" s="1210">
        <v>2</v>
      </c>
      <c r="AJ94" s="1210">
        <v>3</v>
      </c>
      <c r="AK94" s="1210">
        <v>2</v>
      </c>
      <c r="AL94" s="1206">
        <v>84.583333333300004</v>
      </c>
      <c r="AM94" s="1209">
        <v>12.083333333328572</v>
      </c>
      <c r="AN94" s="1205">
        <v>134</v>
      </c>
      <c r="AO94" s="1209">
        <v>19.142857142857142</v>
      </c>
      <c r="AP94" s="1211">
        <v>0.63121890547238813</v>
      </c>
      <c r="AQ94" s="1210">
        <v>6.6666670000000003</v>
      </c>
      <c r="AR94" s="1211">
        <v>4.7290642758639327</v>
      </c>
      <c r="AS94" s="1208">
        <v>0.25</v>
      </c>
      <c r="AT94" s="1208">
        <v>0.125</v>
      </c>
      <c r="AU94" s="1208">
        <v>0.375</v>
      </c>
      <c r="AV94" s="1205">
        <v>28</v>
      </c>
      <c r="AW94" s="1205">
        <v>26</v>
      </c>
      <c r="AX94" s="1212">
        <v>0.51851851851851849</v>
      </c>
      <c r="AY94" s="1205">
        <v>13</v>
      </c>
      <c r="AZ94" s="1205">
        <v>11</v>
      </c>
      <c r="BA94" s="1205">
        <v>3</v>
      </c>
      <c r="BB94" s="1205">
        <v>1</v>
      </c>
      <c r="BC94" s="1205">
        <v>2</v>
      </c>
      <c r="BD94" s="1205">
        <v>2</v>
      </c>
      <c r="BE94" s="1205">
        <v>2</v>
      </c>
      <c r="BF94" s="1206">
        <v>7.8029556650277048</v>
      </c>
      <c r="BG94" s="1209">
        <v>2.1280788177348287</v>
      </c>
      <c r="BH94" s="1209">
        <v>0.70935960591160951</v>
      </c>
      <c r="BI94" s="1209">
        <v>1.418719211823219</v>
      </c>
      <c r="BJ94" s="1209">
        <v>1.418719211823219</v>
      </c>
      <c r="BK94" s="1209">
        <v>1.418719211823219</v>
      </c>
      <c r="BL94" s="1205">
        <v>0</v>
      </c>
      <c r="BM94" s="1205">
        <v>0</v>
      </c>
      <c r="BN94" s="1205">
        <v>0</v>
      </c>
      <c r="BO94" s="1205">
        <v>0</v>
      </c>
      <c r="BP94" s="1205">
        <v>0</v>
      </c>
      <c r="BQ94" s="1205">
        <v>0</v>
      </c>
      <c r="BR94" s="1206">
        <v>-0.115325</v>
      </c>
      <c r="BS94" s="1205"/>
      <c r="BT94" s="1205"/>
      <c r="BU94" s="1213" t="s">
        <v>139</v>
      </c>
      <c r="BV94" s="1205"/>
      <c r="BW94" s="1205">
        <v>2</v>
      </c>
      <c r="BX94" s="1205">
        <v>1</v>
      </c>
      <c r="BY94" s="1205">
        <v>0</v>
      </c>
      <c r="BZ94" s="1205">
        <v>0</v>
      </c>
      <c r="CA94" s="1205">
        <v>0</v>
      </c>
      <c r="CB94" s="1205">
        <v>0</v>
      </c>
      <c r="CC94" s="1205">
        <v>0</v>
      </c>
      <c r="CD94" s="1205">
        <v>0</v>
      </c>
      <c r="CE94" s="1213">
        <v>0</v>
      </c>
      <c r="CF94" s="1214">
        <v>3</v>
      </c>
      <c r="CG94" s="1205">
        <v>0.30000000000000004</v>
      </c>
      <c r="CH94" s="1205">
        <v>0.2</v>
      </c>
      <c r="CI94" s="1205">
        <v>0.5</v>
      </c>
      <c r="CJ94" s="1215">
        <v>7.1428571428571425E-2</v>
      </c>
      <c r="CK94" s="1215">
        <v>0.35467980295580476</v>
      </c>
      <c r="CL94" s="1205">
        <v>1.5</v>
      </c>
      <c r="CM94" s="1205">
        <v>1.5</v>
      </c>
      <c r="CN94" s="1205">
        <v>2.6</v>
      </c>
      <c r="CO94" s="1205">
        <v>0.7</v>
      </c>
      <c r="CP94" s="1205">
        <v>0.4</v>
      </c>
      <c r="CQ94" s="1205">
        <v>0</v>
      </c>
      <c r="CR94" s="1205">
        <v>1.1000000000000001</v>
      </c>
      <c r="CS94" s="1216">
        <v>0.15714285714285717</v>
      </c>
      <c r="CT94" s="1216">
        <v>0.78029556650277065</v>
      </c>
      <c r="CU94" s="1205"/>
      <c r="CV94" s="1205"/>
      <c r="CW94" s="1205"/>
      <c r="CX94" s="1205">
        <v>17</v>
      </c>
      <c r="CY94" s="1205" t="s">
        <v>628</v>
      </c>
      <c r="CZ94" s="1205">
        <v>925000</v>
      </c>
      <c r="DA94" s="1205"/>
      <c r="DB94" s="1217">
        <v>-0.5243902439024386</v>
      </c>
    </row>
    <row r="95" spans="1:106" ht="26.25" x14ac:dyDescent="0.25">
      <c r="A95" s="1218">
        <v>25</v>
      </c>
      <c r="B95" s="1218" t="s">
        <v>629</v>
      </c>
      <c r="C95" s="1218" t="s">
        <v>630</v>
      </c>
      <c r="D95" s="1218"/>
      <c r="E95" s="1218" t="s">
        <v>176</v>
      </c>
      <c r="F95" s="1218">
        <v>75</v>
      </c>
      <c r="G95" s="1218">
        <v>209</v>
      </c>
      <c r="H95" s="1218" t="s">
        <v>117</v>
      </c>
      <c r="I95" s="1218">
        <v>2012</v>
      </c>
      <c r="J95" s="1218">
        <v>1</v>
      </c>
      <c r="K95" s="1218">
        <v>12</v>
      </c>
      <c r="L95" s="1218" t="s">
        <v>108</v>
      </c>
      <c r="M95" s="1218">
        <v>19</v>
      </c>
      <c r="N95" s="1218" t="s">
        <v>631</v>
      </c>
      <c r="O95" s="1220" t="s">
        <v>632</v>
      </c>
      <c r="P95" s="1220" t="s">
        <v>633</v>
      </c>
      <c r="Q95" s="1218" t="s">
        <v>311</v>
      </c>
      <c r="R95" s="1218"/>
      <c r="S95" s="1218"/>
      <c r="T95" s="1220" t="s">
        <v>113</v>
      </c>
      <c r="U95" s="1218">
        <v>18</v>
      </c>
      <c r="V95" s="1218">
        <v>2</v>
      </c>
      <c r="W95" s="1218">
        <v>1</v>
      </c>
      <c r="X95" s="1218">
        <v>3</v>
      </c>
      <c r="Y95" s="1298">
        <f t="shared" si="1"/>
        <v>0.16666666666666666</v>
      </c>
      <c r="Z95" s="1298" t="s">
        <v>667</v>
      </c>
      <c r="AA95" s="1298">
        <f>54/33</f>
        <v>1.6363636363636365</v>
      </c>
      <c r="AB95" s="1218">
        <v>-3</v>
      </c>
      <c r="AC95" s="1218">
        <v>20</v>
      </c>
      <c r="AD95" s="1218">
        <v>6</v>
      </c>
      <c r="AE95" s="1218">
        <v>8</v>
      </c>
      <c r="AF95" s="1221">
        <v>0.1</v>
      </c>
      <c r="AG95" s="1221">
        <v>5.8823529411764705E-2</v>
      </c>
      <c r="AH95" s="1222">
        <v>32.700000000000003</v>
      </c>
      <c r="AI95" s="1223">
        <v>12</v>
      </c>
      <c r="AJ95" s="1223">
        <v>3</v>
      </c>
      <c r="AK95" s="1223">
        <v>3</v>
      </c>
      <c r="AL95" s="1219">
        <v>205.73333333330001</v>
      </c>
      <c r="AM95" s="1222">
        <v>11.429629629627778</v>
      </c>
      <c r="AN95" s="1218">
        <v>261</v>
      </c>
      <c r="AO95" s="1222">
        <v>14.5</v>
      </c>
      <c r="AP95" s="1224">
        <v>0.78825031928467437</v>
      </c>
      <c r="AQ95" s="1223">
        <v>10</v>
      </c>
      <c r="AR95" s="1224">
        <v>2.9163966299421444</v>
      </c>
      <c r="AS95" s="1221">
        <v>0.14285714285714285</v>
      </c>
      <c r="AT95" s="1221">
        <v>7.1428571428571425E-2</v>
      </c>
      <c r="AU95" s="1221">
        <v>0.21428571428571427</v>
      </c>
      <c r="AV95" s="1218">
        <v>53</v>
      </c>
      <c r="AW95" s="1218">
        <v>50</v>
      </c>
      <c r="AX95" s="1225">
        <v>0.5145631067961165</v>
      </c>
      <c r="AY95" s="1218">
        <v>9.4</v>
      </c>
      <c r="AZ95" s="1218">
        <v>7</v>
      </c>
      <c r="BA95" s="1218">
        <v>6</v>
      </c>
      <c r="BB95" s="1218">
        <v>5</v>
      </c>
      <c r="BC95" s="1218">
        <v>6</v>
      </c>
      <c r="BD95" s="1218">
        <v>7</v>
      </c>
      <c r="BE95" s="1218">
        <v>7</v>
      </c>
      <c r="BF95" s="1219">
        <v>2.0414776409595015</v>
      </c>
      <c r="BG95" s="1222">
        <v>1.7498379779652868</v>
      </c>
      <c r="BH95" s="1222">
        <v>1.4581983149710722</v>
      </c>
      <c r="BI95" s="1222">
        <v>1.7498379779652868</v>
      </c>
      <c r="BJ95" s="1222">
        <v>2.0414776409595015</v>
      </c>
      <c r="BK95" s="1222">
        <v>2.0414776409595015</v>
      </c>
      <c r="BL95" s="1218">
        <v>2</v>
      </c>
      <c r="BM95" s="1218">
        <v>1</v>
      </c>
      <c r="BN95" s="1218">
        <v>0</v>
      </c>
      <c r="BO95" s="1218">
        <v>0</v>
      </c>
      <c r="BP95" s="1218">
        <v>0</v>
      </c>
      <c r="BQ95" s="1218">
        <v>0</v>
      </c>
      <c r="BR95" s="1219">
        <v>-1.3069</v>
      </c>
      <c r="BS95" s="1218"/>
      <c r="BT95" s="1218"/>
      <c r="BU95" s="1226" t="s">
        <v>139</v>
      </c>
      <c r="BV95" s="1218"/>
      <c r="BW95" s="1218">
        <v>0</v>
      </c>
      <c r="BX95" s="1218">
        <v>2</v>
      </c>
      <c r="BY95" s="1218">
        <v>0</v>
      </c>
      <c r="BZ95" s="1218">
        <v>0</v>
      </c>
      <c r="CA95" s="1218">
        <v>0</v>
      </c>
      <c r="CB95" s="1218">
        <v>0</v>
      </c>
      <c r="CC95" s="1218">
        <v>0</v>
      </c>
      <c r="CD95" s="1218">
        <v>0</v>
      </c>
      <c r="CE95" s="1226">
        <v>0</v>
      </c>
      <c r="CF95" s="1227">
        <v>2</v>
      </c>
      <c r="CG95" s="1218">
        <v>0</v>
      </c>
      <c r="CH95" s="1218">
        <v>0.2</v>
      </c>
      <c r="CI95" s="1218">
        <v>0.2</v>
      </c>
      <c r="CJ95" s="1228">
        <v>1.1111111111111112E-2</v>
      </c>
      <c r="CK95" s="1228">
        <v>5.8327932598842891E-2</v>
      </c>
      <c r="CL95" s="1218">
        <v>4.3</v>
      </c>
      <c r="CM95" s="1218">
        <v>3.8</v>
      </c>
      <c r="CN95" s="1218">
        <v>-0.2</v>
      </c>
      <c r="CO95" s="1218">
        <v>-0.5</v>
      </c>
      <c r="CP95" s="1218">
        <v>0.2</v>
      </c>
      <c r="CQ95" s="1218">
        <v>0</v>
      </c>
      <c r="CR95" s="1218">
        <v>-0.30000000000000004</v>
      </c>
      <c r="CS95" s="1229">
        <v>-1.666666666666667E-2</v>
      </c>
      <c r="CT95" s="1229">
        <v>-8.749189889826435E-2</v>
      </c>
      <c r="CU95" s="1218"/>
      <c r="CV95" s="1218"/>
      <c r="CW95" s="1218"/>
      <c r="CX95" s="1218"/>
      <c r="CY95" s="1218"/>
      <c r="CZ95" s="1218">
        <v>1775000</v>
      </c>
      <c r="DA95" s="1218"/>
      <c r="DB95" s="1230">
        <v>-3.4170731707317064</v>
      </c>
    </row>
    <row r="96" spans="1:106" x14ac:dyDescent="0.25">
      <c r="A96" s="1231">
        <v>84</v>
      </c>
      <c r="B96" s="1231" t="s">
        <v>634</v>
      </c>
      <c r="C96" s="1231" t="s">
        <v>635</v>
      </c>
      <c r="D96" s="1231"/>
      <c r="E96" s="1231" t="s">
        <v>190</v>
      </c>
      <c r="F96" s="1231">
        <v>75</v>
      </c>
      <c r="G96" s="1231">
        <v>213</v>
      </c>
      <c r="H96" s="1231" t="s">
        <v>117</v>
      </c>
      <c r="I96" s="1231">
        <v>2011</v>
      </c>
      <c r="J96" s="1231">
        <v>1</v>
      </c>
      <c r="K96" s="1231">
        <v>19</v>
      </c>
      <c r="L96" s="1231" t="s">
        <v>108</v>
      </c>
      <c r="M96" s="1231">
        <v>20</v>
      </c>
      <c r="N96" s="1231" t="s">
        <v>636</v>
      </c>
      <c r="O96" s="1233" t="s">
        <v>637</v>
      </c>
      <c r="P96" s="1233" t="s">
        <v>638</v>
      </c>
      <c r="Q96" s="1231" t="s">
        <v>365</v>
      </c>
      <c r="R96" s="1231"/>
      <c r="S96" s="1231"/>
      <c r="T96" s="1233" t="s">
        <v>138</v>
      </c>
      <c r="U96" s="1231">
        <v>17</v>
      </c>
      <c r="V96" s="1231">
        <v>1</v>
      </c>
      <c r="W96" s="1231">
        <v>2</v>
      </c>
      <c r="X96" s="1231">
        <v>3</v>
      </c>
      <c r="Y96" s="1298">
        <f t="shared" si="1"/>
        <v>0.17647058823529413</v>
      </c>
      <c r="Z96" s="1298" t="s">
        <v>668</v>
      </c>
      <c r="AA96" s="1298">
        <f>10/48</f>
        <v>0.20833333333333334</v>
      </c>
      <c r="AB96" s="1231">
        <v>-6</v>
      </c>
      <c r="AC96" s="1231">
        <v>14</v>
      </c>
      <c r="AD96" s="1231">
        <v>6</v>
      </c>
      <c r="AE96" s="1231">
        <v>13</v>
      </c>
      <c r="AF96" s="1234">
        <v>7.1428571428571425E-2</v>
      </c>
      <c r="AG96" s="1234">
        <v>3.0303030303030304E-2</v>
      </c>
      <c r="AH96" s="1235">
        <v>43.6</v>
      </c>
      <c r="AI96" s="1236">
        <v>5</v>
      </c>
      <c r="AJ96" s="1236">
        <v>4</v>
      </c>
      <c r="AK96" s="1236">
        <v>5</v>
      </c>
      <c r="AL96" s="1232">
        <v>268.55</v>
      </c>
      <c r="AM96" s="1235">
        <v>15.797058823529412</v>
      </c>
      <c r="AN96" s="1231">
        <v>366</v>
      </c>
      <c r="AO96" s="1235">
        <v>21.529411764705884</v>
      </c>
      <c r="AP96" s="1237">
        <v>0.73374316939890716</v>
      </c>
      <c r="AQ96" s="1236">
        <v>13.875</v>
      </c>
      <c r="AR96" s="1237">
        <v>3.0999813814932042</v>
      </c>
      <c r="AS96" s="1234">
        <v>0.05</v>
      </c>
      <c r="AT96" s="1234">
        <v>0.1</v>
      </c>
      <c r="AU96" s="1234">
        <v>0.15000000000000002</v>
      </c>
      <c r="AV96" s="1231">
        <v>0</v>
      </c>
      <c r="AW96" s="1231">
        <v>0</v>
      </c>
      <c r="AX96" s="1238">
        <v>0</v>
      </c>
      <c r="AY96" s="1231">
        <v>0</v>
      </c>
      <c r="AZ96" s="1231">
        <v>13</v>
      </c>
      <c r="BA96" s="1231">
        <v>6</v>
      </c>
      <c r="BB96" s="1231">
        <v>25</v>
      </c>
      <c r="BC96" s="1231">
        <v>6</v>
      </c>
      <c r="BD96" s="1231">
        <v>9</v>
      </c>
      <c r="BE96" s="1231">
        <v>3</v>
      </c>
      <c r="BF96" s="1232">
        <v>2.904487060137777</v>
      </c>
      <c r="BG96" s="1235">
        <v>1.3405324892943586</v>
      </c>
      <c r="BH96" s="1235">
        <v>5.5855520387264939</v>
      </c>
      <c r="BI96" s="1235">
        <v>1.3405324892943586</v>
      </c>
      <c r="BJ96" s="1235">
        <v>2.0107987339415376</v>
      </c>
      <c r="BK96" s="1235">
        <v>0.67026624464717932</v>
      </c>
      <c r="BL96" s="1231">
        <v>0</v>
      </c>
      <c r="BM96" s="1231">
        <v>0</v>
      </c>
      <c r="BN96" s="1231">
        <v>0</v>
      </c>
      <c r="BO96" s="1231">
        <v>0</v>
      </c>
      <c r="BP96" s="1231">
        <v>0</v>
      </c>
      <c r="BQ96" s="1231">
        <v>0</v>
      </c>
      <c r="BR96" s="1232">
        <v>4.2879249999999995</v>
      </c>
      <c r="BS96" s="1231"/>
      <c r="BT96" s="1231"/>
      <c r="BU96" s="1239" t="s">
        <v>139</v>
      </c>
      <c r="BV96" s="1231"/>
      <c r="BW96" s="1231">
        <v>0</v>
      </c>
      <c r="BX96" s="1231">
        <v>4</v>
      </c>
      <c r="BY96" s="1231">
        <v>0</v>
      </c>
      <c r="BZ96" s="1231">
        <v>0</v>
      </c>
      <c r="CA96" s="1231">
        <v>0</v>
      </c>
      <c r="CB96" s="1231">
        <v>0</v>
      </c>
      <c r="CC96" s="1231">
        <v>0</v>
      </c>
      <c r="CD96" s="1231">
        <v>0</v>
      </c>
      <c r="CE96" s="1239">
        <v>0</v>
      </c>
      <c r="CF96" s="1240">
        <v>4</v>
      </c>
      <c r="CG96" s="1231">
        <v>0.1</v>
      </c>
      <c r="CH96" s="1231">
        <v>0.1</v>
      </c>
      <c r="CI96" s="1231">
        <v>0.2</v>
      </c>
      <c r="CJ96" s="1241">
        <v>1.1764705882352941E-2</v>
      </c>
      <c r="CK96" s="1241">
        <v>4.4684416309811952E-2</v>
      </c>
      <c r="CL96" s="1231">
        <v>5</v>
      </c>
      <c r="CM96" s="1231">
        <v>5.6</v>
      </c>
      <c r="CN96" s="1231">
        <v>-2.7</v>
      </c>
      <c r="CO96" s="1231">
        <v>0.1</v>
      </c>
      <c r="CP96" s="1231">
        <v>-0.2</v>
      </c>
      <c r="CQ96" s="1231">
        <v>0</v>
      </c>
      <c r="CR96" s="1231">
        <v>-0.2</v>
      </c>
      <c r="CS96" s="1242">
        <v>-1.1764705882352941E-2</v>
      </c>
      <c r="CT96" s="1242">
        <v>-4.4684416309811952E-2</v>
      </c>
      <c r="CU96" s="1231"/>
      <c r="CV96" s="1231"/>
      <c r="CW96" s="1231"/>
      <c r="CX96" s="1231"/>
      <c r="CY96" s="1231"/>
      <c r="CZ96" s="1231">
        <v>1244167</v>
      </c>
      <c r="DA96" s="1231"/>
      <c r="DB96" s="1243">
        <v>-2.3848786341463417</v>
      </c>
    </row>
    <row r="97" spans="1:106" x14ac:dyDescent="0.25">
      <c r="A97" s="1244">
        <v>25</v>
      </c>
      <c r="B97" s="1244" t="s">
        <v>639</v>
      </c>
      <c r="C97" s="1244" t="s">
        <v>640</v>
      </c>
      <c r="D97" s="1244" t="s">
        <v>133</v>
      </c>
      <c r="E97" s="1244" t="s">
        <v>127</v>
      </c>
      <c r="F97" s="1244">
        <v>74</v>
      </c>
      <c r="G97" s="1244">
        <v>205</v>
      </c>
      <c r="H97" s="1244" t="s">
        <v>107</v>
      </c>
      <c r="I97" s="1244">
        <v>2008</v>
      </c>
      <c r="J97" s="1244">
        <v>7</v>
      </c>
      <c r="K97" s="1244">
        <v>184</v>
      </c>
      <c r="L97" s="1244" t="s">
        <v>108</v>
      </c>
      <c r="M97" s="1244">
        <v>25</v>
      </c>
      <c r="N97" s="1244" t="s">
        <v>641</v>
      </c>
      <c r="O97" s="1246" t="s">
        <v>642</v>
      </c>
      <c r="P97" s="1246" t="s">
        <v>643</v>
      </c>
      <c r="Q97" s="1244" t="s">
        <v>186</v>
      </c>
      <c r="R97" s="1244"/>
      <c r="S97" s="1244"/>
      <c r="T97" s="1246" t="s">
        <v>138</v>
      </c>
      <c r="U97" s="1244">
        <v>10</v>
      </c>
      <c r="V97" s="1244">
        <v>1</v>
      </c>
      <c r="W97" s="1244">
        <v>2</v>
      </c>
      <c r="X97" s="1244">
        <v>3</v>
      </c>
      <c r="Y97" s="1298">
        <f t="shared" si="1"/>
        <v>0.3</v>
      </c>
      <c r="Z97" s="1298" t="s">
        <v>668</v>
      </c>
      <c r="AA97" s="1298">
        <f>24/40</f>
        <v>0.6</v>
      </c>
      <c r="AB97" s="1244">
        <v>1</v>
      </c>
      <c r="AC97" s="1244">
        <v>10</v>
      </c>
      <c r="AD97" s="1244">
        <v>8</v>
      </c>
      <c r="AE97" s="1244">
        <v>12</v>
      </c>
      <c r="AF97" s="1247">
        <v>0.1</v>
      </c>
      <c r="AG97" s="1247">
        <v>3.3333333333333333E-2</v>
      </c>
      <c r="AH97" s="1248">
        <v>27.7</v>
      </c>
      <c r="AI97" s="1249">
        <v>2</v>
      </c>
      <c r="AJ97" s="1249">
        <v>2</v>
      </c>
      <c r="AK97" s="1249">
        <v>1</v>
      </c>
      <c r="AL97" s="1245">
        <v>153.3333333333</v>
      </c>
      <c r="AM97" s="1248">
        <v>15.33333333333</v>
      </c>
      <c r="AN97" s="1244">
        <v>189</v>
      </c>
      <c r="AO97" s="1248">
        <v>18.899999999999999</v>
      </c>
      <c r="AP97" s="1250">
        <v>0.81128747795396827</v>
      </c>
      <c r="AQ97" s="1249">
        <v>10.833333</v>
      </c>
      <c r="AR97" s="1250">
        <v>4.2391303043487474</v>
      </c>
      <c r="AS97" s="1247">
        <v>4.7619047619047616E-2</v>
      </c>
      <c r="AT97" s="1247">
        <v>9.5238095238095233E-2</v>
      </c>
      <c r="AU97" s="1247">
        <v>0.14285714285714285</v>
      </c>
      <c r="AV97" s="1244">
        <v>0</v>
      </c>
      <c r="AW97" s="1244">
        <v>0</v>
      </c>
      <c r="AX97" s="1251">
        <v>0</v>
      </c>
      <c r="AY97" s="1244">
        <v>0</v>
      </c>
      <c r="AZ97" s="1244">
        <v>11</v>
      </c>
      <c r="BA97" s="1244">
        <v>7</v>
      </c>
      <c r="BB97" s="1244">
        <v>11</v>
      </c>
      <c r="BC97" s="1244">
        <v>8</v>
      </c>
      <c r="BD97" s="1244">
        <v>4</v>
      </c>
      <c r="BE97" s="1244">
        <v>2</v>
      </c>
      <c r="BF97" s="1245">
        <v>4.3043478260878913</v>
      </c>
      <c r="BG97" s="1248">
        <v>2.7391304347832039</v>
      </c>
      <c r="BH97" s="1248">
        <v>4.3043478260878913</v>
      </c>
      <c r="BI97" s="1248">
        <v>3.1304347826093761</v>
      </c>
      <c r="BJ97" s="1248">
        <v>1.5652173913046881</v>
      </c>
      <c r="BK97" s="1248">
        <v>0.78260869565234403</v>
      </c>
      <c r="BL97" s="1244">
        <v>0</v>
      </c>
      <c r="BM97" s="1244">
        <v>0</v>
      </c>
      <c r="BN97" s="1244">
        <v>0</v>
      </c>
      <c r="BO97" s="1244">
        <v>0</v>
      </c>
      <c r="BP97" s="1244">
        <v>0</v>
      </c>
      <c r="BQ97" s="1244">
        <v>0</v>
      </c>
      <c r="BR97" s="1245">
        <v>2.6960440000000001</v>
      </c>
      <c r="BS97" s="1244"/>
      <c r="BT97" s="1244"/>
      <c r="BU97" s="1252" t="s">
        <v>139</v>
      </c>
      <c r="BV97" s="1244"/>
      <c r="BW97" s="1244">
        <v>0</v>
      </c>
      <c r="BX97" s="1244">
        <v>4</v>
      </c>
      <c r="BY97" s="1244">
        <v>0</v>
      </c>
      <c r="BZ97" s="1244">
        <v>0</v>
      </c>
      <c r="CA97" s="1244">
        <v>0</v>
      </c>
      <c r="CB97" s="1244">
        <v>0</v>
      </c>
      <c r="CC97" s="1244">
        <v>0</v>
      </c>
      <c r="CD97" s="1244">
        <v>0</v>
      </c>
      <c r="CE97" s="1252">
        <v>0</v>
      </c>
      <c r="CF97" s="1253">
        <v>4</v>
      </c>
      <c r="CG97" s="1244">
        <v>0.30000000000000004</v>
      </c>
      <c r="CH97" s="1244">
        <v>0.4</v>
      </c>
      <c r="CI97" s="1244">
        <v>0.7</v>
      </c>
      <c r="CJ97" s="1254">
        <v>6.9999999999999993E-2</v>
      </c>
      <c r="CK97" s="1254">
        <v>0.27391304347832035</v>
      </c>
      <c r="CL97" s="1244">
        <v>2.5</v>
      </c>
      <c r="CM97" s="1244">
        <v>2.7</v>
      </c>
      <c r="CN97" s="1244">
        <v>1.1000000000000001</v>
      </c>
      <c r="CO97" s="1244">
        <v>0.60000000000000009</v>
      </c>
      <c r="CP97" s="1244">
        <v>0.30000000000000004</v>
      </c>
      <c r="CQ97" s="1244">
        <v>0</v>
      </c>
      <c r="CR97" s="1244">
        <v>1</v>
      </c>
      <c r="CS97" s="1255">
        <v>0.1</v>
      </c>
      <c r="CT97" s="1255">
        <v>0.39130434782617202</v>
      </c>
      <c r="CU97" s="1244"/>
      <c r="CV97" s="1244"/>
      <c r="CW97" s="1244"/>
      <c r="CX97" s="1244"/>
      <c r="CY97" s="1244"/>
      <c r="CZ97" s="1244">
        <v>715000</v>
      </c>
      <c r="DA97" s="1244"/>
      <c r="DB97" s="1256">
        <v>-0.25560975609756098</v>
      </c>
    </row>
    <row r="98" spans="1:106" x14ac:dyDescent="0.25">
      <c r="A98" s="1257">
        <v>29</v>
      </c>
      <c r="B98" s="1257" t="s">
        <v>644</v>
      </c>
      <c r="C98" s="1257" t="s">
        <v>645</v>
      </c>
      <c r="D98" s="1257" t="s">
        <v>426</v>
      </c>
      <c r="E98" s="1257" t="s">
        <v>127</v>
      </c>
      <c r="F98" s="1257">
        <v>71</v>
      </c>
      <c r="G98" s="1257">
        <v>208</v>
      </c>
      <c r="H98" s="1257" t="s">
        <v>117</v>
      </c>
      <c r="I98" s="1257">
        <v>2009</v>
      </c>
      <c r="J98" s="1257">
        <v>6</v>
      </c>
      <c r="K98" s="1257">
        <v>158</v>
      </c>
      <c r="L98" s="1257" t="s">
        <v>108</v>
      </c>
      <c r="M98" s="1257">
        <v>22</v>
      </c>
      <c r="N98" s="1257" t="s">
        <v>646</v>
      </c>
      <c r="O98" s="1259" t="s">
        <v>647</v>
      </c>
      <c r="P98" s="1259" t="s">
        <v>648</v>
      </c>
      <c r="Q98" s="1257" t="s">
        <v>246</v>
      </c>
      <c r="R98" s="1257"/>
      <c r="S98" s="1257"/>
      <c r="T98" s="1259" t="s">
        <v>164</v>
      </c>
      <c r="U98" s="1257">
        <v>22</v>
      </c>
      <c r="V98" s="1257">
        <v>1</v>
      </c>
      <c r="W98" s="1257">
        <v>2</v>
      </c>
      <c r="X98" s="1257">
        <v>3</v>
      </c>
      <c r="Y98" s="1298">
        <f t="shared" si="1"/>
        <v>0.13636363636363635</v>
      </c>
      <c r="Z98" s="1298" t="s">
        <v>668</v>
      </c>
      <c r="AA98" s="1298">
        <f>33/51</f>
        <v>0.6470588235294118</v>
      </c>
      <c r="AB98" s="1257">
        <v>-1</v>
      </c>
      <c r="AC98" s="1257">
        <v>12</v>
      </c>
      <c r="AD98" s="1257">
        <v>3</v>
      </c>
      <c r="AE98" s="1257">
        <v>5</v>
      </c>
      <c r="AF98" s="1260">
        <v>8.3333333333333329E-2</v>
      </c>
      <c r="AG98" s="1260">
        <v>0.05</v>
      </c>
      <c r="AH98" s="1261">
        <v>22.9</v>
      </c>
      <c r="AI98" s="1262">
        <v>3</v>
      </c>
      <c r="AJ98" s="1262">
        <v>2</v>
      </c>
      <c r="AK98" s="1262">
        <v>0</v>
      </c>
      <c r="AL98" s="1258">
        <v>177.01666666669999</v>
      </c>
      <c r="AM98" s="1261">
        <v>8.0462121212136353</v>
      </c>
      <c r="AN98" s="1257">
        <v>262</v>
      </c>
      <c r="AO98" s="1261">
        <v>11.909090909090908</v>
      </c>
      <c r="AP98" s="1263">
        <v>0.67563613231564879</v>
      </c>
      <c r="AQ98" s="1262">
        <v>9.8000000000000007</v>
      </c>
      <c r="AR98" s="1263">
        <v>3.321721118538119</v>
      </c>
      <c r="AS98" s="1260">
        <v>2.7027027027027029E-2</v>
      </c>
      <c r="AT98" s="1260">
        <v>5.4054054054054057E-2</v>
      </c>
      <c r="AU98" s="1260">
        <v>8.1081081081081086E-2</v>
      </c>
      <c r="AV98" s="1257">
        <v>1</v>
      </c>
      <c r="AW98" s="1257">
        <v>3</v>
      </c>
      <c r="AX98" s="1264">
        <v>0.25</v>
      </c>
      <c r="AY98" s="1257">
        <v>0.2</v>
      </c>
      <c r="AZ98" s="1257">
        <v>35</v>
      </c>
      <c r="BA98" s="1257">
        <v>23</v>
      </c>
      <c r="BB98" s="1257">
        <v>4</v>
      </c>
      <c r="BC98" s="1257">
        <v>3</v>
      </c>
      <c r="BD98" s="1257">
        <v>3</v>
      </c>
      <c r="BE98" s="1257">
        <v>6</v>
      </c>
      <c r="BF98" s="1258">
        <v>11.863289709064709</v>
      </c>
      <c r="BG98" s="1261">
        <v>7.7958760945282375</v>
      </c>
      <c r="BH98" s="1261">
        <v>1.355804538178824</v>
      </c>
      <c r="BI98" s="1261">
        <v>1.0168534036341179</v>
      </c>
      <c r="BJ98" s="1261">
        <v>1.0168534036341179</v>
      </c>
      <c r="BK98" s="1261">
        <v>2.0337068072682358</v>
      </c>
      <c r="BL98" s="1257">
        <v>0</v>
      </c>
      <c r="BM98" s="1257">
        <v>0</v>
      </c>
      <c r="BN98" s="1257">
        <v>0</v>
      </c>
      <c r="BO98" s="1257">
        <v>0</v>
      </c>
      <c r="BP98" s="1257">
        <v>0</v>
      </c>
      <c r="BQ98" s="1257">
        <v>0</v>
      </c>
      <c r="BR98" s="1258">
        <v>5.6677809999999997</v>
      </c>
      <c r="BS98" s="1257"/>
      <c r="BT98" s="1257"/>
      <c r="BU98" s="1265" t="s">
        <v>139</v>
      </c>
      <c r="BV98" s="1257"/>
      <c r="BW98" s="1257">
        <v>0</v>
      </c>
      <c r="BX98" s="1257">
        <v>9</v>
      </c>
      <c r="BY98" s="1257">
        <v>0</v>
      </c>
      <c r="BZ98" s="1257">
        <v>0</v>
      </c>
      <c r="CA98" s="1257">
        <v>0</v>
      </c>
      <c r="CB98" s="1257">
        <v>0</v>
      </c>
      <c r="CC98" s="1257">
        <v>0</v>
      </c>
      <c r="CD98" s="1257">
        <v>0</v>
      </c>
      <c r="CE98" s="1265">
        <v>0</v>
      </c>
      <c r="CF98" s="1266">
        <v>3</v>
      </c>
      <c r="CG98" s="1257">
        <v>0</v>
      </c>
      <c r="CH98" s="1257">
        <v>0.1</v>
      </c>
      <c r="CI98" s="1257">
        <v>0.1</v>
      </c>
      <c r="CJ98" s="1267">
        <v>4.5454545454545461E-3</v>
      </c>
      <c r="CK98" s="1267">
        <v>3.3895113454470598E-2</v>
      </c>
      <c r="CL98" s="1257">
        <v>3.4</v>
      </c>
      <c r="CM98" s="1257">
        <v>4.7</v>
      </c>
      <c r="CN98" s="1257">
        <v>-1.2</v>
      </c>
      <c r="CO98" s="1257">
        <v>-0.30000000000000004</v>
      </c>
      <c r="CP98" s="1257">
        <v>0.30000000000000004</v>
      </c>
      <c r="CQ98" s="1257">
        <v>0</v>
      </c>
      <c r="CR98" s="1257">
        <v>0</v>
      </c>
      <c r="CS98" s="1268">
        <v>0</v>
      </c>
      <c r="CT98" s="1268">
        <v>0</v>
      </c>
      <c r="CU98" s="1257"/>
      <c r="CV98" s="1257"/>
      <c r="CW98" s="1257"/>
      <c r="CX98" s="1257"/>
      <c r="CY98" s="1257"/>
      <c r="CZ98" s="1257">
        <v>1082500</v>
      </c>
      <c r="DA98" s="1257"/>
      <c r="DB98" s="1269">
        <v>-1.9009756097560973</v>
      </c>
    </row>
    <row r="99" spans="1:106" ht="26.25" x14ac:dyDescent="0.25">
      <c r="A99" s="1270">
        <v>42</v>
      </c>
      <c r="B99" s="1270" t="s">
        <v>649</v>
      </c>
      <c r="C99" s="1270" t="s">
        <v>650</v>
      </c>
      <c r="D99" s="1270"/>
      <c r="E99" s="1270" t="s">
        <v>190</v>
      </c>
      <c r="F99" s="1270">
        <v>73</v>
      </c>
      <c r="G99" s="1270">
        <v>160</v>
      </c>
      <c r="H99" s="1270" t="s">
        <v>117</v>
      </c>
      <c r="I99" s="1270">
        <v>2010</v>
      </c>
      <c r="J99" s="1270">
        <v>3</v>
      </c>
      <c r="K99" s="1270">
        <v>90</v>
      </c>
      <c r="L99" s="1270" t="s">
        <v>108</v>
      </c>
      <c r="M99" s="1270">
        <v>21</v>
      </c>
      <c r="N99" s="1270" t="s">
        <v>651</v>
      </c>
      <c r="O99" s="1272" t="s">
        <v>652</v>
      </c>
      <c r="P99" s="1272" t="s">
        <v>653</v>
      </c>
      <c r="Q99" s="1270" t="s">
        <v>264</v>
      </c>
      <c r="R99" s="1270"/>
      <c r="S99" s="1270"/>
      <c r="T99" s="1272" t="s">
        <v>113</v>
      </c>
      <c r="U99" s="1270">
        <v>16</v>
      </c>
      <c r="V99" s="1270">
        <v>1</v>
      </c>
      <c r="W99" s="1270">
        <v>2</v>
      </c>
      <c r="X99" s="1270">
        <v>3</v>
      </c>
      <c r="Y99" s="1298">
        <f t="shared" si="1"/>
        <v>0.1875</v>
      </c>
      <c r="Z99" s="1298" t="s">
        <v>673</v>
      </c>
      <c r="AA99" s="1298">
        <f>9/43</f>
        <v>0.20930232558139536</v>
      </c>
      <c r="AB99" s="1270">
        <v>-2</v>
      </c>
      <c r="AC99" s="1270">
        <v>26</v>
      </c>
      <c r="AD99" s="1270">
        <v>9</v>
      </c>
      <c r="AE99" s="1270">
        <v>11</v>
      </c>
      <c r="AF99" s="1273">
        <v>3.8461538461538464E-2</v>
      </c>
      <c r="AG99" s="1273">
        <v>2.1739130434782608E-2</v>
      </c>
      <c r="AH99" s="1274">
        <v>30.7</v>
      </c>
      <c r="AI99" s="1275">
        <v>14</v>
      </c>
      <c r="AJ99" s="1275">
        <v>3</v>
      </c>
      <c r="AK99" s="1275">
        <v>2</v>
      </c>
      <c r="AL99" s="1271">
        <v>186.96666666670001</v>
      </c>
      <c r="AM99" s="1274">
        <v>11.68541666666875</v>
      </c>
      <c r="AN99" s="1270">
        <v>295</v>
      </c>
      <c r="AO99" s="1274">
        <v>18.4375</v>
      </c>
      <c r="AP99" s="1276">
        <v>0.63378531073457633</v>
      </c>
      <c r="AQ99" s="1275">
        <v>34</v>
      </c>
      <c r="AR99" s="1276">
        <v>10.911035835262808</v>
      </c>
      <c r="AS99" s="1273">
        <v>3.3333333333333333E-2</v>
      </c>
      <c r="AT99" s="1273">
        <v>6.6666666666666666E-2</v>
      </c>
      <c r="AU99" s="1273">
        <v>0.1</v>
      </c>
      <c r="AV99" s="1270">
        <v>10</v>
      </c>
      <c r="AW99" s="1270">
        <v>17</v>
      </c>
      <c r="AX99" s="1277">
        <v>0.37037037037037035</v>
      </c>
      <c r="AY99" s="1270">
        <v>2.8</v>
      </c>
      <c r="AZ99" s="1270">
        <v>24</v>
      </c>
      <c r="BA99" s="1270">
        <v>17</v>
      </c>
      <c r="BB99" s="1270">
        <v>7</v>
      </c>
      <c r="BC99" s="1270">
        <v>9</v>
      </c>
      <c r="BD99" s="1270">
        <v>2</v>
      </c>
      <c r="BE99" s="1270">
        <v>9</v>
      </c>
      <c r="BF99" s="1271">
        <v>7.7019076484208053</v>
      </c>
      <c r="BG99" s="1274">
        <v>5.4555179176314041</v>
      </c>
      <c r="BH99" s="1274">
        <v>2.2463897307894016</v>
      </c>
      <c r="BI99" s="1274">
        <v>2.8882153681578018</v>
      </c>
      <c r="BJ99" s="1274">
        <v>0.64182563736840037</v>
      </c>
      <c r="BK99" s="1274">
        <v>2.8882153681578018</v>
      </c>
      <c r="BL99" s="1270">
        <v>2</v>
      </c>
      <c r="BM99" s="1270">
        <v>1</v>
      </c>
      <c r="BN99" s="1270">
        <v>0</v>
      </c>
      <c r="BO99" s="1270">
        <v>0</v>
      </c>
      <c r="BP99" s="1270">
        <v>0</v>
      </c>
      <c r="BQ99" s="1270">
        <v>0</v>
      </c>
      <c r="BR99" s="1271">
        <v>-0.34340299999999996</v>
      </c>
      <c r="BS99" s="1270"/>
      <c r="BT99" s="1270"/>
      <c r="BU99" s="1278" t="s">
        <v>139</v>
      </c>
      <c r="BV99" s="1270"/>
      <c r="BW99" s="1270">
        <v>1</v>
      </c>
      <c r="BX99" s="1270">
        <v>6</v>
      </c>
      <c r="BY99" s="1270">
        <v>0</v>
      </c>
      <c r="BZ99" s="1270">
        <v>0</v>
      </c>
      <c r="CA99" s="1270">
        <v>0</v>
      </c>
      <c r="CB99" s="1270">
        <v>0</v>
      </c>
      <c r="CC99" s="1270">
        <v>0</v>
      </c>
      <c r="CD99" s="1270">
        <v>0</v>
      </c>
      <c r="CE99" s="1278">
        <v>0</v>
      </c>
      <c r="CF99" s="1279">
        <v>5</v>
      </c>
      <c r="CG99" s="1270">
        <v>-0.1</v>
      </c>
      <c r="CH99" s="1270">
        <v>0.1</v>
      </c>
      <c r="CI99" s="1270">
        <v>0</v>
      </c>
      <c r="CJ99" s="1280">
        <v>0</v>
      </c>
      <c r="CK99" s="1280">
        <v>0</v>
      </c>
      <c r="CL99" s="1270">
        <v>3.2</v>
      </c>
      <c r="CM99" s="1270">
        <v>4.0999999999999996</v>
      </c>
      <c r="CN99" s="1270">
        <v>-3.6</v>
      </c>
      <c r="CO99" s="1270">
        <v>-0.2</v>
      </c>
      <c r="CP99" s="1270">
        <v>0.30000000000000004</v>
      </c>
      <c r="CQ99" s="1270">
        <v>0</v>
      </c>
      <c r="CR99" s="1270">
        <v>0.1</v>
      </c>
      <c r="CS99" s="1281">
        <v>6.2500000000000003E-3</v>
      </c>
      <c r="CT99" s="1281">
        <v>3.2091281868420023E-2</v>
      </c>
      <c r="CU99" s="1270"/>
      <c r="CV99" s="1270"/>
      <c r="CW99" s="1270"/>
      <c r="CX99" s="1270"/>
      <c r="CY99" s="1270"/>
      <c r="CZ99" s="1270">
        <v>766667</v>
      </c>
      <c r="DA99" s="1270"/>
      <c r="DB99" s="1282">
        <v>-1.2463420487804877</v>
      </c>
    </row>
    <row r="100" spans="1:106" x14ac:dyDescent="0.25">
      <c r="A100" s="1283">
        <v>55</v>
      </c>
      <c r="B100" s="1283" t="s">
        <v>654</v>
      </c>
      <c r="C100" s="1283" t="s">
        <v>655</v>
      </c>
      <c r="D100" s="1283" t="s">
        <v>142</v>
      </c>
      <c r="E100" s="1283" t="s">
        <v>127</v>
      </c>
      <c r="F100" s="1283">
        <v>70</v>
      </c>
      <c r="G100" s="1283">
        <v>182</v>
      </c>
      <c r="H100" s="1283" t="s">
        <v>117</v>
      </c>
      <c r="I100" s="1283">
        <v>2008</v>
      </c>
      <c r="J100" s="1283">
        <v>2</v>
      </c>
      <c r="K100" s="1283">
        <v>40</v>
      </c>
      <c r="L100" s="1283" t="s">
        <v>108</v>
      </c>
      <c r="M100" s="1283">
        <v>23</v>
      </c>
      <c r="N100" s="1283" t="s">
        <v>656</v>
      </c>
      <c r="O100" s="1284" t="s">
        <v>657</v>
      </c>
      <c r="P100" s="1284" t="s">
        <v>658</v>
      </c>
      <c r="Q100" s="1283" t="s">
        <v>252</v>
      </c>
      <c r="R100" s="1283"/>
      <c r="S100" s="1283"/>
      <c r="T100" s="1296" t="s">
        <v>138</v>
      </c>
      <c r="U100" s="1283">
        <v>20</v>
      </c>
      <c r="V100" s="1283">
        <v>1</v>
      </c>
      <c r="W100" s="1283">
        <v>2</v>
      </c>
      <c r="X100" s="1283">
        <v>3</v>
      </c>
      <c r="Y100" s="1298">
        <f t="shared" si="1"/>
        <v>0.15</v>
      </c>
      <c r="Z100" s="1298" t="s">
        <v>668</v>
      </c>
      <c r="AA100" s="1298">
        <f>27/76</f>
        <v>0.35526315789473684</v>
      </c>
      <c r="AB100" s="1283">
        <v>-13</v>
      </c>
      <c r="AC100" s="1283">
        <v>23</v>
      </c>
      <c r="AD100" s="1283">
        <v>9</v>
      </c>
      <c r="AE100" s="1283">
        <v>17</v>
      </c>
      <c r="AF100" s="1286">
        <v>4.3478260869565216E-2</v>
      </c>
      <c r="AG100" s="1286">
        <v>2.0408163265306121E-2</v>
      </c>
      <c r="AH100" s="1287">
        <v>49.7</v>
      </c>
      <c r="AI100" s="1288">
        <v>16</v>
      </c>
      <c r="AJ100" s="1288">
        <v>2</v>
      </c>
      <c r="AK100" s="1288">
        <v>4</v>
      </c>
      <c r="AL100" s="1285">
        <v>295.88333333330002</v>
      </c>
      <c r="AM100" s="1287">
        <v>14.794166666665001</v>
      </c>
      <c r="AN100" s="1283">
        <v>418</v>
      </c>
      <c r="AO100" s="1287">
        <v>20.9</v>
      </c>
      <c r="AP100" s="1289">
        <v>0.70785486443373213</v>
      </c>
      <c r="AQ100" s="1288">
        <v>0</v>
      </c>
      <c r="AR100" s="1289">
        <v>0</v>
      </c>
      <c r="AS100" s="1286">
        <v>2.7027027027027029E-2</v>
      </c>
      <c r="AT100" s="1286">
        <v>5.4054054054054057E-2</v>
      </c>
      <c r="AU100" s="1286">
        <v>8.1081081081081086E-2</v>
      </c>
      <c r="AV100" s="1283">
        <v>0</v>
      </c>
      <c r="AW100" s="1283">
        <v>0</v>
      </c>
      <c r="AX100" s="1290">
        <v>0</v>
      </c>
      <c r="AY100" s="1283">
        <v>0</v>
      </c>
      <c r="AZ100" s="1283">
        <v>31</v>
      </c>
      <c r="BA100" s="1283">
        <v>14</v>
      </c>
      <c r="BB100" s="1283">
        <v>26</v>
      </c>
      <c r="BC100" s="1283">
        <v>9</v>
      </c>
      <c r="BD100" s="1283">
        <v>7</v>
      </c>
      <c r="BE100" s="1283">
        <v>3</v>
      </c>
      <c r="BF100" s="1285">
        <v>6.2862614769341842</v>
      </c>
      <c r="BG100" s="1287">
        <v>2.8389567960347928</v>
      </c>
      <c r="BH100" s="1287">
        <v>5.2723483354931862</v>
      </c>
      <c r="BI100" s="1287">
        <v>1.8250436545937954</v>
      </c>
      <c r="BJ100" s="1287">
        <v>1.4194783980173964</v>
      </c>
      <c r="BK100" s="1287">
        <v>0.60834788486459845</v>
      </c>
      <c r="BL100" s="1283">
        <v>10</v>
      </c>
      <c r="BM100" s="1283">
        <v>5</v>
      </c>
      <c r="BN100" s="1283">
        <v>0</v>
      </c>
      <c r="BO100" s="1283">
        <v>0</v>
      </c>
      <c r="BP100" s="1283">
        <v>0</v>
      </c>
      <c r="BQ100" s="1283">
        <v>0</v>
      </c>
      <c r="BR100" s="1285">
        <v>-1.5998969999999999</v>
      </c>
      <c r="BS100" s="1283"/>
      <c r="BT100" s="1283"/>
      <c r="BU100" s="1291" t="s">
        <v>139</v>
      </c>
      <c r="BV100" s="1283"/>
      <c r="BW100" s="1283">
        <v>0</v>
      </c>
      <c r="BX100" s="1283">
        <v>6</v>
      </c>
      <c r="BY100" s="1283">
        <v>0</v>
      </c>
      <c r="BZ100" s="1283">
        <v>0</v>
      </c>
      <c r="CA100" s="1283">
        <v>0</v>
      </c>
      <c r="CB100" s="1283">
        <v>0</v>
      </c>
      <c r="CC100" s="1283">
        <v>0</v>
      </c>
      <c r="CD100" s="1283">
        <v>0</v>
      </c>
      <c r="CE100" s="1291">
        <v>0</v>
      </c>
      <c r="CF100" s="1292">
        <v>1</v>
      </c>
      <c r="CG100" s="1283">
        <v>0.1</v>
      </c>
      <c r="CH100" s="1283">
        <v>-0.5</v>
      </c>
      <c r="CI100" s="1283">
        <v>-0.4</v>
      </c>
      <c r="CJ100" s="1293">
        <v>-0.02</v>
      </c>
      <c r="CK100" s="1293">
        <v>-8.1113051315279794E-2</v>
      </c>
      <c r="CL100" s="1283">
        <v>4.4000000000000004</v>
      </c>
      <c r="CM100" s="1283">
        <v>5.5</v>
      </c>
      <c r="CN100" s="1283">
        <v>-11.4</v>
      </c>
      <c r="CO100" s="1283">
        <v>0.2</v>
      </c>
      <c r="CP100" s="1283">
        <v>-1.2</v>
      </c>
      <c r="CQ100" s="1283">
        <v>0</v>
      </c>
      <c r="CR100" s="1283">
        <v>-1</v>
      </c>
      <c r="CS100" s="1294">
        <v>-0.05</v>
      </c>
      <c r="CT100" s="1294">
        <v>-0.20278262828819948</v>
      </c>
      <c r="CU100" s="1283"/>
      <c r="CV100" s="1283"/>
      <c r="CW100" s="1283"/>
      <c r="CX100" s="1283"/>
      <c r="CY100" s="1283"/>
      <c r="CZ100" s="1283">
        <v>875000</v>
      </c>
      <c r="DA100" s="1297"/>
      <c r="DB100" s="1295">
        <v>-2.5365853658536586</v>
      </c>
    </row>
    <row r="101" spans="1:106" x14ac:dyDescent="0.25">
      <c r="A101" s="1298">
        <v>49</v>
      </c>
      <c r="B101" s="1298" t="s">
        <v>659</v>
      </c>
      <c r="C101" s="1298" t="s">
        <v>660</v>
      </c>
      <c r="D101" s="1298" t="s">
        <v>168</v>
      </c>
      <c r="E101" s="1298" t="s">
        <v>106</v>
      </c>
      <c r="F101" s="1298">
        <v>75</v>
      </c>
      <c r="G101" s="1298">
        <v>210</v>
      </c>
      <c r="H101" s="1298" t="s">
        <v>117</v>
      </c>
      <c r="I101" s="1298"/>
      <c r="J101" s="1298"/>
      <c r="K101" s="1298"/>
      <c r="L101" s="1298" t="s">
        <v>108</v>
      </c>
      <c r="M101" s="1298">
        <v>23</v>
      </c>
      <c r="N101" s="1298" t="s">
        <v>661</v>
      </c>
      <c r="O101" s="1300" t="s">
        <v>662</v>
      </c>
      <c r="P101" s="1300" t="s">
        <v>663</v>
      </c>
      <c r="Q101" s="1298" t="s">
        <v>386</v>
      </c>
      <c r="R101" s="1298"/>
      <c r="S101" s="1298"/>
      <c r="T101" s="1300" t="s">
        <v>180</v>
      </c>
      <c r="U101" s="1298">
        <v>16</v>
      </c>
      <c r="V101" s="1298">
        <v>1</v>
      </c>
      <c r="W101" s="1298">
        <v>2</v>
      </c>
      <c r="X101" s="1298">
        <v>3</v>
      </c>
      <c r="Y101" s="1298">
        <f t="shared" si="1"/>
        <v>0.1875</v>
      </c>
      <c r="Z101" s="1298" t="s">
        <v>668</v>
      </c>
      <c r="AA101" s="1298">
        <f>22/55</f>
        <v>0.4</v>
      </c>
      <c r="AB101" s="1298">
        <v>1</v>
      </c>
      <c r="AC101" s="1298">
        <v>11</v>
      </c>
      <c r="AD101" s="1298">
        <v>4</v>
      </c>
      <c r="AE101" s="1298">
        <v>5</v>
      </c>
      <c r="AF101" s="1301">
        <v>9.0909090909090912E-2</v>
      </c>
      <c r="AG101" s="1301">
        <v>0.05</v>
      </c>
      <c r="AH101" s="1302">
        <v>41.9</v>
      </c>
      <c r="AI101" s="1303">
        <v>8</v>
      </c>
      <c r="AJ101" s="1303">
        <v>0</v>
      </c>
      <c r="AK101" s="1303">
        <v>1</v>
      </c>
      <c r="AL101" s="1299">
        <v>124.75</v>
      </c>
      <c r="AM101" s="1302">
        <v>7.796875</v>
      </c>
      <c r="AN101" s="1298">
        <v>199</v>
      </c>
      <c r="AO101" s="1302">
        <v>12.4375</v>
      </c>
      <c r="AP101" s="1304">
        <v>0.62688442211055273</v>
      </c>
      <c r="AQ101" s="1303">
        <v>8</v>
      </c>
      <c r="AR101" s="1304">
        <v>3.847695390781563</v>
      </c>
      <c r="AS101" s="1301">
        <v>0.02</v>
      </c>
      <c r="AT101" s="1301">
        <v>0.04</v>
      </c>
      <c r="AU101" s="1301">
        <v>0.06</v>
      </c>
      <c r="AV101" s="1298">
        <v>0</v>
      </c>
      <c r="AW101" s="1298">
        <v>1</v>
      </c>
      <c r="AX101" s="1305">
        <v>0</v>
      </c>
      <c r="AY101" s="1298">
        <v>0.1</v>
      </c>
      <c r="AZ101" s="1298">
        <v>25</v>
      </c>
      <c r="BA101" s="1298">
        <v>30</v>
      </c>
      <c r="BB101" s="1298">
        <v>9</v>
      </c>
      <c r="BC101" s="1298">
        <v>4</v>
      </c>
      <c r="BD101" s="1298">
        <v>1</v>
      </c>
      <c r="BE101" s="1298">
        <v>2</v>
      </c>
      <c r="BF101" s="1299">
        <v>12.024048096192384</v>
      </c>
      <c r="BG101" s="1302">
        <v>14.428857715430862</v>
      </c>
      <c r="BH101" s="1302">
        <v>4.3286573146292584</v>
      </c>
      <c r="BI101" s="1302">
        <v>1.9238476953907815</v>
      </c>
      <c r="BJ101" s="1302">
        <v>0.48096192384769537</v>
      </c>
      <c r="BK101" s="1302">
        <v>0.96192384769539074</v>
      </c>
      <c r="BL101" s="1298">
        <v>0</v>
      </c>
      <c r="BM101" s="1298">
        <v>0</v>
      </c>
      <c r="BN101" s="1298">
        <v>0</v>
      </c>
      <c r="BO101" s="1298">
        <v>0</v>
      </c>
      <c r="BP101" s="1298">
        <v>0</v>
      </c>
      <c r="BQ101" s="1298">
        <v>0</v>
      </c>
      <c r="BR101" s="1299">
        <v>3.772939</v>
      </c>
      <c r="BS101" s="1298"/>
      <c r="BT101" s="1298"/>
      <c r="BU101" s="1306" t="s">
        <v>139</v>
      </c>
      <c r="BV101" s="1298"/>
      <c r="BW101" s="1298">
        <v>0</v>
      </c>
      <c r="BX101" s="1298">
        <v>4</v>
      </c>
      <c r="BY101" s="1298">
        <v>0</v>
      </c>
      <c r="BZ101" s="1298">
        <v>0</v>
      </c>
      <c r="CA101" s="1298">
        <v>0</v>
      </c>
      <c r="CB101" s="1298">
        <v>0</v>
      </c>
      <c r="CC101" s="1298">
        <v>0</v>
      </c>
      <c r="CD101" s="1298">
        <v>0</v>
      </c>
      <c r="CE101" s="1306">
        <v>0</v>
      </c>
      <c r="CF101" s="1307">
        <v>5</v>
      </c>
      <c r="CG101" s="1298">
        <v>0.1</v>
      </c>
      <c r="CH101" s="1298">
        <v>0.2</v>
      </c>
      <c r="CI101" s="1298">
        <v>0.30000000000000004</v>
      </c>
      <c r="CJ101" s="1308">
        <v>1.8750000000000003E-2</v>
      </c>
      <c r="CK101" s="1308">
        <v>0.14428857715430865</v>
      </c>
      <c r="CL101" s="1298">
        <v>3.2</v>
      </c>
      <c r="CM101" s="1298">
        <v>3.1</v>
      </c>
      <c r="CN101" s="1298">
        <v>1.6</v>
      </c>
      <c r="CO101" s="1298">
        <v>-0.2</v>
      </c>
      <c r="CP101" s="1298">
        <v>0.5</v>
      </c>
      <c r="CQ101" s="1298">
        <v>0</v>
      </c>
      <c r="CR101" s="1298">
        <v>0.30000000000000004</v>
      </c>
      <c r="CS101" s="1309">
        <v>1.8750000000000003E-2</v>
      </c>
      <c r="CT101" s="1309">
        <v>0.14428857715430865</v>
      </c>
      <c r="CU101" s="1298"/>
      <c r="CV101" s="1298"/>
      <c r="CW101" s="1298"/>
      <c r="CX101" s="1298"/>
      <c r="CY101" s="1298"/>
      <c r="CZ101" s="1298">
        <v>660000</v>
      </c>
      <c r="DA101" s="1298"/>
      <c r="DB101" s="1310">
        <v>-0.85902439024390231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Zarubiak</dc:creator>
  <cp:lastModifiedBy>Cam Zarubiak</cp:lastModifiedBy>
  <dcterms:created xsi:type="dcterms:W3CDTF">2018-03-10T00:30:05Z</dcterms:created>
  <dcterms:modified xsi:type="dcterms:W3CDTF">2018-03-11T02:06:25Z</dcterms:modified>
</cp:coreProperties>
</file>