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m\Desktop\hockey_analytics\"/>
    </mc:Choice>
  </mc:AlternateContent>
  <bookViews>
    <workbookView xWindow="0" yWindow="0" windowWidth="14370" windowHeight="123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1" i="1" l="1"/>
  <c r="H100" i="1"/>
  <c r="H99" i="1"/>
  <c r="F98" i="1"/>
  <c r="H98" i="1"/>
  <c r="H97" i="1"/>
  <c r="H96" i="1"/>
  <c r="H95" i="1"/>
  <c r="H94" i="1"/>
  <c r="H93" i="1"/>
  <c r="H92" i="1"/>
  <c r="F101" i="1"/>
  <c r="F100" i="1"/>
  <c r="F99" i="1"/>
  <c r="F97" i="1"/>
  <c r="F96" i="1"/>
  <c r="F95" i="1"/>
  <c r="F94" i="1"/>
  <c r="F93" i="1"/>
  <c r="F92" i="1"/>
  <c r="H91" i="1"/>
  <c r="F91" i="1"/>
  <c r="H90" i="1"/>
  <c r="F90" i="1"/>
  <c r="H89" i="1"/>
  <c r="F89" i="1"/>
  <c r="H88" i="1"/>
  <c r="F88" i="1"/>
  <c r="H87" i="1"/>
  <c r="F87" i="1"/>
  <c r="H86" i="1"/>
  <c r="F86" i="1"/>
  <c r="H85" i="1"/>
  <c r="F85" i="1"/>
  <c r="H84" i="1"/>
  <c r="F84" i="1"/>
  <c r="H83" i="1"/>
  <c r="F83" i="1"/>
  <c r="H82" i="1"/>
  <c r="F82" i="1"/>
  <c r="H81" i="1"/>
  <c r="F81" i="1"/>
  <c r="H80" i="1"/>
  <c r="F80" i="1"/>
  <c r="H79" i="1"/>
  <c r="F79" i="1"/>
  <c r="H78" i="1"/>
  <c r="F78" i="1"/>
  <c r="H77" i="1"/>
  <c r="F77" i="1"/>
  <c r="H76" i="1"/>
  <c r="F76" i="1"/>
  <c r="H75" i="1"/>
  <c r="F75" i="1"/>
  <c r="H74" i="1"/>
  <c r="F74" i="1"/>
  <c r="H73" i="1"/>
  <c r="F73" i="1"/>
  <c r="H72" i="1"/>
  <c r="F72" i="1"/>
  <c r="F71" i="1"/>
  <c r="H71" i="1"/>
  <c r="H70" i="1"/>
  <c r="F70" i="1"/>
  <c r="H69" i="1"/>
  <c r="F69" i="1"/>
  <c r="H68" i="1"/>
  <c r="F68" i="1"/>
  <c r="H67" i="1"/>
  <c r="F67" i="1"/>
  <c r="H66" i="1"/>
  <c r="F66" i="1"/>
  <c r="H65" i="1"/>
  <c r="F65" i="1"/>
  <c r="F64" i="1"/>
  <c r="H64" i="1"/>
  <c r="H63" i="1"/>
  <c r="F63" i="1"/>
  <c r="H62" i="1"/>
  <c r="F62" i="1"/>
  <c r="H61" i="1"/>
  <c r="F61" i="1"/>
  <c r="H60" i="1"/>
  <c r="F60" i="1"/>
  <c r="H59" i="1"/>
  <c r="F59" i="1"/>
  <c r="H58" i="1"/>
  <c r="F58" i="1"/>
  <c r="H57" i="1"/>
  <c r="F57" i="1"/>
  <c r="H56" i="1"/>
  <c r="F56" i="1"/>
  <c r="H55" i="1"/>
  <c r="F55" i="1"/>
  <c r="H54" i="1"/>
  <c r="F54" i="1"/>
  <c r="H53" i="1"/>
  <c r="F53" i="1"/>
  <c r="F52" i="1"/>
  <c r="H52" i="1"/>
  <c r="H51" i="1"/>
  <c r="F51" i="1"/>
  <c r="H50" i="1"/>
  <c r="F50" i="1"/>
  <c r="H49" i="1"/>
  <c r="F49" i="1"/>
  <c r="F48" i="1"/>
  <c r="H48" i="1"/>
  <c r="F47" i="1"/>
  <c r="H47" i="1"/>
  <c r="F46" i="1"/>
  <c r="H46" i="1"/>
  <c r="F45" i="1"/>
  <c r="H45" i="1"/>
  <c r="F44" i="1"/>
  <c r="H44" i="1"/>
  <c r="F43" i="1"/>
  <c r="H43" i="1"/>
  <c r="F42" i="1"/>
  <c r="H42" i="1"/>
  <c r="F41" i="1"/>
  <c r="H41" i="1"/>
  <c r="F40" i="1"/>
  <c r="H40" i="1"/>
  <c r="H39" i="1"/>
  <c r="F39" i="1"/>
  <c r="F38" i="1"/>
  <c r="H38" i="1"/>
  <c r="H37" i="1"/>
  <c r="F37" i="1"/>
  <c r="F36" i="1"/>
  <c r="H36" i="1"/>
  <c r="F35" i="1"/>
  <c r="H35" i="1"/>
  <c r="F34" i="1"/>
  <c r="H34" i="1"/>
  <c r="F33" i="1"/>
  <c r="H33" i="1"/>
  <c r="H32" i="1"/>
  <c r="F32" i="1"/>
  <c r="F31" i="1"/>
  <c r="H31" i="1"/>
  <c r="H30" i="1"/>
  <c r="F30" i="1"/>
  <c r="H29" i="1"/>
  <c r="F29" i="1"/>
  <c r="H28" i="1"/>
  <c r="F28" i="1"/>
  <c r="H27" i="1"/>
  <c r="F27" i="1"/>
  <c r="H26" i="1"/>
  <c r="F26" i="1"/>
  <c r="F25" i="1"/>
  <c r="H25" i="1"/>
  <c r="H24" i="1"/>
  <c r="F24" i="1"/>
  <c r="H23" i="1"/>
  <c r="F23" i="1"/>
  <c r="H22" i="1"/>
  <c r="F22" i="1"/>
  <c r="F21" i="1"/>
  <c r="H21" i="1"/>
  <c r="H20" i="1"/>
  <c r="F20" i="1"/>
  <c r="F19" i="1"/>
  <c r="H19" i="1"/>
  <c r="F18" i="1"/>
  <c r="H18" i="1"/>
  <c r="F17" i="1"/>
  <c r="H17" i="1"/>
  <c r="H16" i="1"/>
  <c r="F16" i="1"/>
  <c r="F15" i="1"/>
  <c r="H15" i="1"/>
  <c r="F14" i="1"/>
  <c r="H14" i="1"/>
  <c r="F13" i="1"/>
  <c r="H13" i="1"/>
  <c r="F12" i="1"/>
  <c r="H12" i="1"/>
  <c r="F11" i="1"/>
  <c r="H11" i="1"/>
  <c r="H10" i="1"/>
  <c r="F10" i="1"/>
  <c r="F9" i="1"/>
  <c r="H9" i="1"/>
  <c r="F8" i="1"/>
  <c r="H8" i="1"/>
  <c r="H7" i="1"/>
  <c r="F7" i="1"/>
  <c r="H6" i="1"/>
  <c r="F6" i="1"/>
  <c r="F5" i="1"/>
  <c r="H5" i="1"/>
  <c r="F4" i="1"/>
  <c r="H4" i="1"/>
  <c r="F3" i="1"/>
  <c r="H3" i="1"/>
  <c r="F2" i="1"/>
  <c r="H2" i="1"/>
  <c r="DK101" i="1" l="1"/>
  <c r="CY101" i="1"/>
  <c r="DB101" i="1" s="1"/>
  <c r="CE101" i="1"/>
  <c r="BR101" i="1"/>
  <c r="BQ101" i="1"/>
  <c r="BK101" i="1"/>
  <c r="BL101" i="1" s="1"/>
  <c r="BJ101" i="1"/>
  <c r="AD101" i="1" s="1"/>
  <c r="AY101" i="1"/>
  <c r="AS101" i="1"/>
  <c r="AR101" i="1"/>
  <c r="AP101" i="1"/>
  <c r="AN101" i="1"/>
  <c r="AK101" i="1"/>
  <c r="AJ101" i="1"/>
  <c r="AL101" i="1" s="1"/>
  <c r="AB101" i="1"/>
  <c r="CK101" i="1" s="1"/>
  <c r="Z101" i="1"/>
  <c r="BP101" i="1" s="1"/>
  <c r="X101" i="1"/>
  <c r="DA101" i="1" s="1"/>
  <c r="V101" i="1"/>
  <c r="U101" i="1"/>
  <c r="M101" i="1"/>
  <c r="L101" i="1"/>
  <c r="DK100" i="1"/>
  <c r="CY100" i="1"/>
  <c r="DB100" i="1" s="1"/>
  <c r="CE100" i="1"/>
  <c r="BS100" i="1"/>
  <c r="BO100" i="1"/>
  <c r="BK100" i="1"/>
  <c r="BJ100" i="1"/>
  <c r="AY100" i="1"/>
  <c r="AS100" i="1"/>
  <c r="AR100" i="1"/>
  <c r="AP100" i="1"/>
  <c r="AN100" i="1"/>
  <c r="AK100" i="1"/>
  <c r="AJ100" i="1"/>
  <c r="AD100" i="1"/>
  <c r="AB100" i="1"/>
  <c r="CK100" i="1" s="1"/>
  <c r="Z100" i="1"/>
  <c r="BR100" i="1" s="1"/>
  <c r="X100" i="1"/>
  <c r="DA100" i="1" s="1"/>
  <c r="V100" i="1"/>
  <c r="U100" i="1"/>
  <c r="L100" i="1"/>
  <c r="M100" i="1" s="1"/>
  <c r="DK99" i="1"/>
  <c r="CY99" i="1"/>
  <c r="CK99" i="1"/>
  <c r="CE99" i="1"/>
  <c r="BK99" i="1"/>
  <c r="BJ99" i="1"/>
  <c r="AD99" i="1" s="1"/>
  <c r="AY99" i="1"/>
  <c r="AS99" i="1"/>
  <c r="AR99" i="1"/>
  <c r="AP99" i="1"/>
  <c r="AN99" i="1"/>
  <c r="AK99" i="1"/>
  <c r="AJ99" i="1"/>
  <c r="AB99" i="1"/>
  <c r="CI99" i="1" s="1"/>
  <c r="Z99" i="1"/>
  <c r="BP99" i="1" s="1"/>
  <c r="X99" i="1"/>
  <c r="DB99" i="1" s="1"/>
  <c r="V99" i="1"/>
  <c r="U99" i="1"/>
  <c r="L99" i="1"/>
  <c r="M99" i="1" s="1"/>
  <c r="DK98" i="1"/>
  <c r="DB98" i="1"/>
  <c r="CZ98" i="1"/>
  <c r="CY98" i="1"/>
  <c r="CL98" i="1"/>
  <c r="CE98" i="1"/>
  <c r="BO98" i="1"/>
  <c r="BK98" i="1"/>
  <c r="BL98" i="1" s="1"/>
  <c r="BJ98" i="1"/>
  <c r="AD98" i="1" s="1"/>
  <c r="AY98" i="1"/>
  <c r="AS98" i="1"/>
  <c r="AR98" i="1"/>
  <c r="AP98" i="1"/>
  <c r="AN98" i="1"/>
  <c r="AK98" i="1"/>
  <c r="AJ98" i="1"/>
  <c r="AB98" i="1"/>
  <c r="CK98" i="1" s="1"/>
  <c r="Z98" i="1"/>
  <c r="BP98" i="1" s="1"/>
  <c r="X98" i="1"/>
  <c r="DA98" i="1" s="1"/>
  <c r="V98" i="1"/>
  <c r="U98" i="1"/>
  <c r="L98" i="1"/>
  <c r="M98" i="1" s="1"/>
  <c r="DK97" i="1"/>
  <c r="CY97" i="1"/>
  <c r="CE97" i="1"/>
  <c r="BS97" i="1"/>
  <c r="BK97" i="1"/>
  <c r="BL97" i="1" s="1"/>
  <c r="BJ97" i="1"/>
  <c r="AD97" i="1" s="1"/>
  <c r="AY97" i="1"/>
  <c r="AS97" i="1"/>
  <c r="AR97" i="1"/>
  <c r="AP97" i="1"/>
  <c r="AN97" i="1"/>
  <c r="AK97" i="1"/>
  <c r="AJ97" i="1"/>
  <c r="AL97" i="1" s="1"/>
  <c r="AB97" i="1"/>
  <c r="CI97" i="1" s="1"/>
  <c r="Z97" i="1"/>
  <c r="BR97" i="1" s="1"/>
  <c r="X97" i="1"/>
  <c r="DA97" i="1" s="1"/>
  <c r="V97" i="1"/>
  <c r="U97" i="1"/>
  <c r="L97" i="1"/>
  <c r="M97" i="1" s="1"/>
  <c r="DK96" i="1"/>
  <c r="CY96" i="1"/>
  <c r="DB96" i="1" s="1"/>
  <c r="CE96" i="1"/>
  <c r="BR96" i="1"/>
  <c r="BK96" i="1"/>
  <c r="BL96" i="1" s="1"/>
  <c r="BJ96" i="1"/>
  <c r="AD96" i="1" s="1"/>
  <c r="AY96" i="1"/>
  <c r="AS96" i="1"/>
  <c r="AR96" i="1"/>
  <c r="AP96" i="1"/>
  <c r="AN96" i="1"/>
  <c r="AK96" i="1"/>
  <c r="AJ96" i="1"/>
  <c r="AL96" i="1" s="1"/>
  <c r="AB96" i="1"/>
  <c r="CI96" i="1" s="1"/>
  <c r="Z96" i="1"/>
  <c r="BQ96" i="1" s="1"/>
  <c r="X96" i="1"/>
  <c r="DA96" i="1" s="1"/>
  <c r="V96" i="1"/>
  <c r="U96" i="1"/>
  <c r="L96" i="1"/>
  <c r="M96" i="1" s="1"/>
  <c r="DK95" i="1"/>
  <c r="CY95" i="1"/>
  <c r="DB95" i="1" s="1"/>
  <c r="CE95" i="1"/>
  <c r="BK95" i="1"/>
  <c r="BJ95" i="1"/>
  <c r="AD95" i="1" s="1"/>
  <c r="AY95" i="1"/>
  <c r="AS95" i="1"/>
  <c r="AR95" i="1"/>
  <c r="AP95" i="1"/>
  <c r="AN95" i="1"/>
  <c r="AK95" i="1"/>
  <c r="AJ95" i="1"/>
  <c r="AB95" i="1"/>
  <c r="CJ95" i="1" s="1"/>
  <c r="Z95" i="1"/>
  <c r="BR95" i="1" s="1"/>
  <c r="X95" i="1"/>
  <c r="DA95" i="1" s="1"/>
  <c r="V95" i="1"/>
  <c r="U95" i="1"/>
  <c r="M95" i="1"/>
  <c r="L95" i="1"/>
  <c r="DK94" i="1"/>
  <c r="DB94" i="1"/>
  <c r="CZ94" i="1"/>
  <c r="CY94" i="1"/>
  <c r="CE94" i="1"/>
  <c r="BQ94" i="1"/>
  <c r="BO94" i="1"/>
  <c r="BK94" i="1"/>
  <c r="BL94" i="1" s="1"/>
  <c r="BJ94" i="1"/>
  <c r="AY94" i="1"/>
  <c r="AS94" i="1"/>
  <c r="AR94" i="1"/>
  <c r="AP94" i="1"/>
  <c r="AN94" i="1"/>
  <c r="AK94" i="1"/>
  <c r="AJ94" i="1"/>
  <c r="AD94" i="1"/>
  <c r="AB94" i="1"/>
  <c r="CK94" i="1" s="1"/>
  <c r="Z94" i="1"/>
  <c r="BP94" i="1" s="1"/>
  <c r="X94" i="1"/>
  <c r="DA94" i="1" s="1"/>
  <c r="V94" i="1"/>
  <c r="U94" i="1"/>
  <c r="L94" i="1"/>
  <c r="M94" i="1" s="1"/>
  <c r="DK93" i="1"/>
  <c r="CY93" i="1"/>
  <c r="CM93" i="1"/>
  <c r="CI93" i="1"/>
  <c r="CE93" i="1"/>
  <c r="BS93" i="1"/>
  <c r="BP93" i="1"/>
  <c r="BK93" i="1"/>
  <c r="BL93" i="1" s="1"/>
  <c r="BJ93" i="1"/>
  <c r="AD93" i="1" s="1"/>
  <c r="AY93" i="1"/>
  <c r="AS93" i="1"/>
  <c r="AR93" i="1"/>
  <c r="AP93" i="1"/>
  <c r="AN93" i="1"/>
  <c r="AK93" i="1"/>
  <c r="AL93" i="1" s="1"/>
  <c r="AJ93" i="1"/>
  <c r="AB93" i="1"/>
  <c r="CJ93" i="1" s="1"/>
  <c r="Z93" i="1"/>
  <c r="BQ93" i="1" s="1"/>
  <c r="X93" i="1"/>
  <c r="CZ93" i="1" s="1"/>
  <c r="V93" i="1"/>
  <c r="U93" i="1"/>
  <c r="M93" i="1"/>
  <c r="L93" i="1"/>
  <c r="DK92" i="1"/>
  <c r="CY92" i="1"/>
  <c r="CM92" i="1"/>
  <c r="CL92" i="1"/>
  <c r="CJ92" i="1"/>
  <c r="CE92" i="1"/>
  <c r="BS92" i="1"/>
  <c r="BK92" i="1"/>
  <c r="BL92" i="1" s="1"/>
  <c r="BJ92" i="1"/>
  <c r="AY92" i="1"/>
  <c r="AS92" i="1"/>
  <c r="AR92" i="1"/>
  <c r="AP92" i="1"/>
  <c r="AN92" i="1"/>
  <c r="AK92" i="1"/>
  <c r="AL92" i="1" s="1"/>
  <c r="AJ92" i="1"/>
  <c r="AD92" i="1"/>
  <c r="AB92" i="1"/>
  <c r="CK92" i="1" s="1"/>
  <c r="Z92" i="1"/>
  <c r="BR92" i="1" s="1"/>
  <c r="X92" i="1"/>
  <c r="DA92" i="1" s="1"/>
  <c r="V92" i="1"/>
  <c r="U92" i="1"/>
  <c r="L92" i="1"/>
  <c r="M92" i="1" s="1"/>
  <c r="DK91" i="1"/>
  <c r="CY91" i="1"/>
  <c r="DB91" i="1" s="1"/>
  <c r="CL91" i="1"/>
  <c r="CE91" i="1"/>
  <c r="BK91" i="1"/>
  <c r="BL91" i="1" s="1"/>
  <c r="BJ91" i="1"/>
  <c r="AY91" i="1"/>
  <c r="AS91" i="1"/>
  <c r="AR91" i="1"/>
  <c r="AP91" i="1"/>
  <c r="AN91" i="1"/>
  <c r="AK91" i="1"/>
  <c r="AJ91" i="1"/>
  <c r="AL91" i="1" s="1"/>
  <c r="AD91" i="1"/>
  <c r="AB91" i="1"/>
  <c r="CK91" i="1" s="1"/>
  <c r="Z91" i="1"/>
  <c r="BR91" i="1" s="1"/>
  <c r="X91" i="1"/>
  <c r="DA91" i="1" s="1"/>
  <c r="V91" i="1"/>
  <c r="U91" i="1"/>
  <c r="L91" i="1"/>
  <c r="M91" i="1" s="1"/>
  <c r="DK86" i="1"/>
  <c r="CY86" i="1"/>
  <c r="CL86" i="1"/>
  <c r="CK86" i="1"/>
  <c r="CJ86" i="1"/>
  <c r="CE86" i="1"/>
  <c r="BS86" i="1"/>
  <c r="BK86" i="1"/>
  <c r="BJ86" i="1"/>
  <c r="BM86" i="1" s="1"/>
  <c r="AY86" i="1"/>
  <c r="AS86" i="1"/>
  <c r="AR86" i="1"/>
  <c r="AP86" i="1"/>
  <c r="AN86" i="1"/>
  <c r="AK86" i="1"/>
  <c r="AJ86" i="1"/>
  <c r="AD86" i="1"/>
  <c r="AB86" i="1"/>
  <c r="CI86" i="1" s="1"/>
  <c r="Z86" i="1"/>
  <c r="BR86" i="1" s="1"/>
  <c r="X86" i="1"/>
  <c r="DA86" i="1" s="1"/>
  <c r="V86" i="1"/>
  <c r="U86" i="1"/>
  <c r="L86" i="1"/>
  <c r="M86" i="1" s="1"/>
  <c r="DK90" i="1"/>
  <c r="CY90" i="1"/>
  <c r="CE90" i="1"/>
  <c r="BS90" i="1"/>
  <c r="BR90" i="1"/>
  <c r="BK90" i="1"/>
  <c r="BJ90" i="1"/>
  <c r="AD90" i="1" s="1"/>
  <c r="AY90" i="1"/>
  <c r="AS90" i="1"/>
  <c r="AR90" i="1"/>
  <c r="AP90" i="1"/>
  <c r="AN90" i="1"/>
  <c r="AK90" i="1"/>
  <c r="AL90" i="1" s="1"/>
  <c r="AJ90" i="1"/>
  <c r="AB90" i="1"/>
  <c r="CK90" i="1" s="1"/>
  <c r="Z90" i="1"/>
  <c r="BQ90" i="1" s="1"/>
  <c r="X90" i="1"/>
  <c r="DA90" i="1" s="1"/>
  <c r="V90" i="1"/>
  <c r="U90" i="1"/>
  <c r="M90" i="1"/>
  <c r="L90" i="1"/>
  <c r="DK89" i="1"/>
  <c r="CY89" i="1"/>
  <c r="CE89" i="1"/>
  <c r="BK89" i="1"/>
  <c r="BL89" i="1" s="1"/>
  <c r="BJ89" i="1"/>
  <c r="AD89" i="1" s="1"/>
  <c r="AY89" i="1"/>
  <c r="AS89" i="1"/>
  <c r="AR89" i="1"/>
  <c r="AP89" i="1"/>
  <c r="AN89" i="1"/>
  <c r="AK89" i="1"/>
  <c r="AJ89" i="1"/>
  <c r="AL89" i="1" s="1"/>
  <c r="AB89" i="1"/>
  <c r="CK89" i="1" s="1"/>
  <c r="Z89" i="1"/>
  <c r="BP89" i="1" s="1"/>
  <c r="X89" i="1"/>
  <c r="DA89" i="1" s="1"/>
  <c r="V89" i="1"/>
  <c r="U89" i="1"/>
  <c r="L89" i="1"/>
  <c r="M89" i="1" s="1"/>
  <c r="DK88" i="1"/>
  <c r="CY88" i="1"/>
  <c r="DB88" i="1" s="1"/>
  <c r="CE88" i="1"/>
  <c r="BK88" i="1"/>
  <c r="BJ88" i="1"/>
  <c r="AD88" i="1" s="1"/>
  <c r="AY88" i="1"/>
  <c r="AS88" i="1"/>
  <c r="AR88" i="1"/>
  <c r="AP88" i="1"/>
  <c r="AN88" i="1"/>
  <c r="AK88" i="1"/>
  <c r="AJ88" i="1"/>
  <c r="AB88" i="1"/>
  <c r="CK88" i="1" s="1"/>
  <c r="Z88" i="1"/>
  <c r="BR88" i="1" s="1"/>
  <c r="X88" i="1"/>
  <c r="DA88" i="1" s="1"/>
  <c r="V88" i="1"/>
  <c r="U88" i="1"/>
  <c r="L88" i="1"/>
  <c r="M88" i="1" s="1"/>
  <c r="DK87" i="1"/>
  <c r="CY87" i="1"/>
  <c r="CE87" i="1"/>
  <c r="BK87" i="1"/>
  <c r="BL87" i="1" s="1"/>
  <c r="BJ87" i="1"/>
  <c r="AY87" i="1"/>
  <c r="AS87" i="1"/>
  <c r="AR87" i="1"/>
  <c r="AP87" i="1"/>
  <c r="AN87" i="1"/>
  <c r="AK87" i="1"/>
  <c r="AJ87" i="1"/>
  <c r="AD87" i="1"/>
  <c r="AB87" i="1"/>
  <c r="CK87" i="1" s="1"/>
  <c r="Z87" i="1"/>
  <c r="BR87" i="1" s="1"/>
  <c r="X87" i="1"/>
  <c r="DA87" i="1" s="1"/>
  <c r="V87" i="1"/>
  <c r="U87" i="1"/>
  <c r="L87" i="1"/>
  <c r="M87" i="1" s="1"/>
  <c r="DK85" i="1"/>
  <c r="CY85" i="1"/>
  <c r="CE85" i="1"/>
  <c r="BK85" i="1"/>
  <c r="BJ85" i="1"/>
  <c r="AD85" i="1" s="1"/>
  <c r="AY85" i="1"/>
  <c r="AS85" i="1"/>
  <c r="AR85" i="1"/>
  <c r="AP85" i="1"/>
  <c r="AN85" i="1"/>
  <c r="AK85" i="1"/>
  <c r="AJ85" i="1"/>
  <c r="AB85" i="1"/>
  <c r="CJ85" i="1" s="1"/>
  <c r="Z85" i="1"/>
  <c r="BR85" i="1" s="1"/>
  <c r="X85" i="1"/>
  <c r="DA85" i="1" s="1"/>
  <c r="V85" i="1"/>
  <c r="U85" i="1"/>
  <c r="M85" i="1"/>
  <c r="L85" i="1"/>
  <c r="DK84" i="1"/>
  <c r="CY84" i="1"/>
  <c r="CK84" i="1"/>
  <c r="CE84" i="1"/>
  <c r="BS84" i="1"/>
  <c r="BK84" i="1"/>
  <c r="BJ84" i="1"/>
  <c r="AD84" i="1" s="1"/>
  <c r="AY84" i="1"/>
  <c r="AS84" i="1"/>
  <c r="AR84" i="1"/>
  <c r="AP84" i="1"/>
  <c r="AN84" i="1"/>
  <c r="AK84" i="1"/>
  <c r="AJ84" i="1"/>
  <c r="AL84" i="1" s="1"/>
  <c r="AB84" i="1"/>
  <c r="CJ84" i="1" s="1"/>
  <c r="Z84" i="1"/>
  <c r="BQ84" i="1" s="1"/>
  <c r="X84" i="1"/>
  <c r="DA84" i="1" s="1"/>
  <c r="V84" i="1"/>
  <c r="U84" i="1"/>
  <c r="M84" i="1"/>
  <c r="L84" i="1"/>
  <c r="DK83" i="1"/>
  <c r="CY83" i="1"/>
  <c r="CE83" i="1"/>
  <c r="BS83" i="1"/>
  <c r="BK83" i="1"/>
  <c r="BJ83" i="1"/>
  <c r="AD83" i="1" s="1"/>
  <c r="AY83" i="1"/>
  <c r="AS83" i="1"/>
  <c r="AR83" i="1"/>
  <c r="AP83" i="1"/>
  <c r="AN83" i="1"/>
  <c r="AK83" i="1"/>
  <c r="AJ83" i="1"/>
  <c r="AB83" i="1"/>
  <c r="CJ83" i="1" s="1"/>
  <c r="Z83" i="1"/>
  <c r="BQ83" i="1" s="1"/>
  <c r="X83" i="1"/>
  <c r="DA83" i="1" s="1"/>
  <c r="V83" i="1"/>
  <c r="U83" i="1"/>
  <c r="L83" i="1"/>
  <c r="M83" i="1" s="1"/>
  <c r="DK82" i="1"/>
  <c r="CY82" i="1"/>
  <c r="CE82" i="1"/>
  <c r="BK82" i="1"/>
  <c r="BL82" i="1" s="1"/>
  <c r="BJ82" i="1"/>
  <c r="AY82" i="1"/>
  <c r="AS82" i="1"/>
  <c r="AR82" i="1"/>
  <c r="AP82" i="1"/>
  <c r="AN82" i="1"/>
  <c r="AK82" i="1"/>
  <c r="AJ82" i="1"/>
  <c r="AD82" i="1"/>
  <c r="AB82" i="1"/>
  <c r="CI82" i="1" s="1"/>
  <c r="Z82" i="1"/>
  <c r="BR82" i="1" s="1"/>
  <c r="X82" i="1"/>
  <c r="DA82" i="1" s="1"/>
  <c r="V82" i="1"/>
  <c r="U82" i="1"/>
  <c r="L82" i="1"/>
  <c r="M82" i="1" s="1"/>
  <c r="DK81" i="1"/>
  <c r="CY81" i="1"/>
  <c r="CL81" i="1"/>
  <c r="CE81" i="1"/>
  <c r="BQ81" i="1"/>
  <c r="BO81" i="1"/>
  <c r="BK81" i="1"/>
  <c r="BJ81" i="1"/>
  <c r="AD81" i="1" s="1"/>
  <c r="AY81" i="1"/>
  <c r="AS81" i="1"/>
  <c r="AR81" i="1"/>
  <c r="AP81" i="1"/>
  <c r="AN81" i="1"/>
  <c r="AK81" i="1"/>
  <c r="AJ81" i="1"/>
  <c r="AB81" i="1"/>
  <c r="CK81" i="1" s="1"/>
  <c r="Z81" i="1"/>
  <c r="BP81" i="1" s="1"/>
  <c r="X81" i="1"/>
  <c r="DB81" i="1" s="1"/>
  <c r="V81" i="1"/>
  <c r="U81" i="1"/>
  <c r="L81" i="1"/>
  <c r="M81" i="1" s="1"/>
  <c r="DK80" i="1"/>
  <c r="CY80" i="1"/>
  <c r="CE80" i="1"/>
  <c r="BK80" i="1"/>
  <c r="BJ80" i="1"/>
  <c r="AD80" i="1" s="1"/>
  <c r="AY80" i="1"/>
  <c r="AS80" i="1"/>
  <c r="AR80" i="1"/>
  <c r="AP80" i="1"/>
  <c r="AN80" i="1"/>
  <c r="AK80" i="1"/>
  <c r="AJ80" i="1"/>
  <c r="AB80" i="1"/>
  <c r="CI80" i="1" s="1"/>
  <c r="Z80" i="1"/>
  <c r="BP80" i="1" s="1"/>
  <c r="X80" i="1"/>
  <c r="V80" i="1"/>
  <c r="U80" i="1"/>
  <c r="M80" i="1"/>
  <c r="L80" i="1"/>
  <c r="DK79" i="1"/>
  <c r="CY79" i="1"/>
  <c r="CE79" i="1"/>
  <c r="BS79" i="1"/>
  <c r="BK79" i="1"/>
  <c r="BJ79" i="1"/>
  <c r="AD79" i="1" s="1"/>
  <c r="AY79" i="1"/>
  <c r="AS79" i="1"/>
  <c r="AR79" i="1"/>
  <c r="AP79" i="1"/>
  <c r="AN79" i="1"/>
  <c r="AK79" i="1"/>
  <c r="AJ79" i="1"/>
  <c r="AL79" i="1" s="1"/>
  <c r="AB79" i="1"/>
  <c r="CJ79" i="1" s="1"/>
  <c r="Z79" i="1"/>
  <c r="BP79" i="1" s="1"/>
  <c r="X79" i="1"/>
  <c r="V79" i="1"/>
  <c r="U79" i="1"/>
  <c r="M79" i="1"/>
  <c r="L79" i="1"/>
  <c r="DK78" i="1"/>
  <c r="CY78" i="1"/>
  <c r="CE78" i="1"/>
  <c r="BK78" i="1"/>
  <c r="BL78" i="1" s="1"/>
  <c r="BJ78" i="1"/>
  <c r="AD78" i="1" s="1"/>
  <c r="AY78" i="1"/>
  <c r="AS78" i="1"/>
  <c r="AR78" i="1"/>
  <c r="AP78" i="1"/>
  <c r="AN78" i="1"/>
  <c r="AK78" i="1"/>
  <c r="AJ78" i="1"/>
  <c r="AB78" i="1"/>
  <c r="CJ78" i="1" s="1"/>
  <c r="Z78" i="1"/>
  <c r="BQ78" i="1" s="1"/>
  <c r="X78" i="1"/>
  <c r="CZ78" i="1" s="1"/>
  <c r="V78" i="1"/>
  <c r="U78" i="1"/>
  <c r="L78" i="1"/>
  <c r="M78" i="1" s="1"/>
  <c r="DK77" i="1"/>
  <c r="CY77" i="1"/>
  <c r="CM77" i="1"/>
  <c r="CL77" i="1"/>
  <c r="CE77" i="1"/>
  <c r="BK77" i="1"/>
  <c r="BL77" i="1" s="1"/>
  <c r="BJ77" i="1"/>
  <c r="AD77" i="1" s="1"/>
  <c r="AY77" i="1"/>
  <c r="AS77" i="1"/>
  <c r="AR77" i="1"/>
  <c r="AP77" i="1"/>
  <c r="AN77" i="1"/>
  <c r="AK77" i="1"/>
  <c r="AJ77" i="1"/>
  <c r="AB77" i="1"/>
  <c r="CJ77" i="1" s="1"/>
  <c r="Z77" i="1"/>
  <c r="BQ77" i="1" s="1"/>
  <c r="X77" i="1"/>
  <c r="DA77" i="1" s="1"/>
  <c r="V77" i="1"/>
  <c r="U77" i="1"/>
  <c r="L77" i="1"/>
  <c r="M77" i="1" s="1"/>
  <c r="DK76" i="1"/>
  <c r="CY76" i="1"/>
  <c r="CE76" i="1"/>
  <c r="BK76" i="1"/>
  <c r="BJ76" i="1"/>
  <c r="AD76" i="1" s="1"/>
  <c r="AY76" i="1"/>
  <c r="AS76" i="1"/>
  <c r="AR76" i="1"/>
  <c r="AP76" i="1"/>
  <c r="AN76" i="1"/>
  <c r="AK76" i="1"/>
  <c r="AJ76" i="1"/>
  <c r="AB76" i="1"/>
  <c r="CI76" i="1" s="1"/>
  <c r="Z76" i="1"/>
  <c r="BP76" i="1" s="1"/>
  <c r="X76" i="1"/>
  <c r="DB76" i="1" s="1"/>
  <c r="V76" i="1"/>
  <c r="U76" i="1"/>
  <c r="L76" i="1"/>
  <c r="M76" i="1" s="1"/>
  <c r="DK75" i="1"/>
  <c r="CY75" i="1"/>
  <c r="CE75" i="1"/>
  <c r="BR75" i="1"/>
  <c r="BK75" i="1"/>
  <c r="BJ75" i="1"/>
  <c r="AD75" i="1" s="1"/>
  <c r="AY75" i="1"/>
  <c r="AS75" i="1"/>
  <c r="AR75" i="1"/>
  <c r="AP75" i="1"/>
  <c r="AN75" i="1"/>
  <c r="AK75" i="1"/>
  <c r="AJ75" i="1"/>
  <c r="AB75" i="1"/>
  <c r="CI75" i="1" s="1"/>
  <c r="Z75" i="1"/>
  <c r="BP75" i="1" s="1"/>
  <c r="X75" i="1"/>
  <c r="V75" i="1"/>
  <c r="U75" i="1"/>
  <c r="L75" i="1"/>
  <c r="M75" i="1" s="1"/>
  <c r="DK74" i="1"/>
  <c r="CY74" i="1"/>
  <c r="CE74" i="1"/>
  <c r="BQ74" i="1"/>
  <c r="BK74" i="1"/>
  <c r="BL74" i="1" s="1"/>
  <c r="BJ74" i="1"/>
  <c r="AD74" i="1" s="1"/>
  <c r="AY74" i="1"/>
  <c r="AS74" i="1"/>
  <c r="AR74" i="1"/>
  <c r="AP74" i="1"/>
  <c r="AN74" i="1"/>
  <c r="AK74" i="1"/>
  <c r="AJ74" i="1"/>
  <c r="AB74" i="1"/>
  <c r="CI74" i="1" s="1"/>
  <c r="Z74" i="1"/>
  <c r="BP74" i="1" s="1"/>
  <c r="X74" i="1"/>
  <c r="V74" i="1"/>
  <c r="U74" i="1"/>
  <c r="L74" i="1"/>
  <c r="M74" i="1" s="1"/>
  <c r="DK73" i="1"/>
  <c r="CY73" i="1"/>
  <c r="DB73" i="1" s="1"/>
  <c r="CE73" i="1"/>
  <c r="BK73" i="1"/>
  <c r="BJ73" i="1"/>
  <c r="AD73" i="1" s="1"/>
  <c r="AY73" i="1"/>
  <c r="AS73" i="1"/>
  <c r="AR73" i="1"/>
  <c r="AP73" i="1"/>
  <c r="AN73" i="1"/>
  <c r="AK73" i="1"/>
  <c r="AJ73" i="1"/>
  <c r="AB73" i="1"/>
  <c r="CK73" i="1" s="1"/>
  <c r="Z73" i="1"/>
  <c r="BR73" i="1" s="1"/>
  <c r="X73" i="1"/>
  <c r="DA73" i="1" s="1"/>
  <c r="V73" i="1"/>
  <c r="U73" i="1"/>
  <c r="L73" i="1"/>
  <c r="M73" i="1" s="1"/>
  <c r="DK72" i="1"/>
  <c r="CY72" i="1"/>
  <c r="CE72" i="1"/>
  <c r="BK72" i="1"/>
  <c r="BJ72" i="1"/>
  <c r="AD72" i="1" s="1"/>
  <c r="AY72" i="1"/>
  <c r="AS72" i="1"/>
  <c r="AR72" i="1"/>
  <c r="AP72" i="1"/>
  <c r="AN72" i="1"/>
  <c r="AK72" i="1"/>
  <c r="AJ72" i="1"/>
  <c r="AL72" i="1" s="1"/>
  <c r="AB72" i="1"/>
  <c r="CK72" i="1" s="1"/>
  <c r="Z72" i="1"/>
  <c r="BP72" i="1" s="1"/>
  <c r="X72" i="1"/>
  <c r="DA72" i="1" s="1"/>
  <c r="V72" i="1"/>
  <c r="U72" i="1"/>
  <c r="L72" i="1"/>
  <c r="M72" i="1" s="1"/>
  <c r="DK71" i="1"/>
  <c r="CY71" i="1"/>
  <c r="DB71" i="1" s="1"/>
  <c r="CE71" i="1"/>
  <c r="BR71" i="1"/>
  <c r="BQ71" i="1"/>
  <c r="BK71" i="1"/>
  <c r="BJ71" i="1"/>
  <c r="BM71" i="1" s="1"/>
  <c r="AY71" i="1"/>
  <c r="AS71" i="1"/>
  <c r="AR71" i="1"/>
  <c r="AP71" i="1"/>
  <c r="AN71" i="1"/>
  <c r="AK71" i="1"/>
  <c r="AJ71" i="1"/>
  <c r="AD71" i="1"/>
  <c r="AB71" i="1"/>
  <c r="CK71" i="1" s="1"/>
  <c r="Z71" i="1"/>
  <c r="BP71" i="1" s="1"/>
  <c r="X71" i="1"/>
  <c r="DA71" i="1" s="1"/>
  <c r="V71" i="1"/>
  <c r="U71" i="1"/>
  <c r="L71" i="1"/>
  <c r="M71" i="1" s="1"/>
  <c r="DK70" i="1"/>
  <c r="CY70" i="1"/>
  <c r="CE70" i="1"/>
  <c r="BS70" i="1"/>
  <c r="BK70" i="1"/>
  <c r="BL70" i="1" s="1"/>
  <c r="BJ70" i="1"/>
  <c r="AY70" i="1"/>
  <c r="AS70" i="1"/>
  <c r="AR70" i="1"/>
  <c r="AP70" i="1"/>
  <c r="AN70" i="1"/>
  <c r="AK70" i="1"/>
  <c r="AJ70" i="1"/>
  <c r="AD70" i="1"/>
  <c r="AB70" i="1"/>
  <c r="CK70" i="1" s="1"/>
  <c r="Z70" i="1"/>
  <c r="BR70" i="1" s="1"/>
  <c r="X70" i="1"/>
  <c r="DA70" i="1" s="1"/>
  <c r="V70" i="1"/>
  <c r="U70" i="1"/>
  <c r="L70" i="1"/>
  <c r="M70" i="1" s="1"/>
  <c r="DK69" i="1"/>
  <c r="CY69" i="1"/>
  <c r="CE69" i="1"/>
  <c r="BK69" i="1"/>
  <c r="BJ69" i="1"/>
  <c r="AD69" i="1" s="1"/>
  <c r="AY69" i="1"/>
  <c r="AS69" i="1"/>
  <c r="AR69" i="1"/>
  <c r="AP69" i="1"/>
  <c r="AN69" i="1"/>
  <c r="AK69" i="1"/>
  <c r="AJ69" i="1"/>
  <c r="AB69" i="1"/>
  <c r="CI69" i="1" s="1"/>
  <c r="Z69" i="1"/>
  <c r="BP69" i="1" s="1"/>
  <c r="X69" i="1"/>
  <c r="DB69" i="1" s="1"/>
  <c r="V69" i="1"/>
  <c r="U69" i="1"/>
  <c r="M69" i="1"/>
  <c r="L69" i="1"/>
  <c r="DK68" i="1"/>
  <c r="CY68" i="1"/>
  <c r="CL68" i="1"/>
  <c r="CE68" i="1"/>
  <c r="BS68" i="1"/>
  <c r="BK68" i="1"/>
  <c r="BJ68" i="1"/>
  <c r="AY68" i="1"/>
  <c r="AS68" i="1"/>
  <c r="AR68" i="1"/>
  <c r="AP68" i="1"/>
  <c r="AN68" i="1"/>
  <c r="AK68" i="1"/>
  <c r="AJ68" i="1"/>
  <c r="AD68" i="1"/>
  <c r="AB68" i="1"/>
  <c r="CK68" i="1" s="1"/>
  <c r="Z68" i="1"/>
  <c r="BR68" i="1" s="1"/>
  <c r="X68" i="1"/>
  <c r="DA68" i="1" s="1"/>
  <c r="V68" i="1"/>
  <c r="U68" i="1"/>
  <c r="L68" i="1"/>
  <c r="M68" i="1" s="1"/>
  <c r="DK67" i="1"/>
  <c r="CY67" i="1"/>
  <c r="CE67" i="1"/>
  <c r="BO67" i="1"/>
  <c r="BK67" i="1"/>
  <c r="BM67" i="1" s="1"/>
  <c r="BJ67" i="1"/>
  <c r="AY67" i="1"/>
  <c r="AS67" i="1"/>
  <c r="AR67" i="1"/>
  <c r="AP67" i="1"/>
  <c r="AN67" i="1"/>
  <c r="AK67" i="1"/>
  <c r="AJ67" i="1"/>
  <c r="AD67" i="1"/>
  <c r="AB67" i="1"/>
  <c r="CK67" i="1" s="1"/>
  <c r="Z67" i="1"/>
  <c r="BP67" i="1" s="1"/>
  <c r="X67" i="1"/>
  <c r="DB67" i="1" s="1"/>
  <c r="V67" i="1"/>
  <c r="U67" i="1"/>
  <c r="L67" i="1"/>
  <c r="M67" i="1" s="1"/>
  <c r="DK66" i="1"/>
  <c r="CY66" i="1"/>
  <c r="CE66" i="1"/>
  <c r="BK66" i="1"/>
  <c r="BL66" i="1" s="1"/>
  <c r="BJ66" i="1"/>
  <c r="AD66" i="1" s="1"/>
  <c r="AY66" i="1"/>
  <c r="AS66" i="1"/>
  <c r="AR66" i="1"/>
  <c r="AP66" i="1"/>
  <c r="AN66" i="1"/>
  <c r="AK66" i="1"/>
  <c r="AJ66" i="1"/>
  <c r="AB66" i="1"/>
  <c r="CK66" i="1" s="1"/>
  <c r="Z66" i="1"/>
  <c r="BQ66" i="1" s="1"/>
  <c r="X66" i="1"/>
  <c r="DA66" i="1" s="1"/>
  <c r="V66" i="1"/>
  <c r="U66" i="1"/>
  <c r="L66" i="1"/>
  <c r="M66" i="1" s="1"/>
  <c r="DK65" i="1"/>
  <c r="CY65" i="1"/>
  <c r="CE65" i="1"/>
  <c r="BS65" i="1"/>
  <c r="BK65" i="1"/>
  <c r="BJ65" i="1"/>
  <c r="AY65" i="1"/>
  <c r="AS65" i="1"/>
  <c r="AR65" i="1"/>
  <c r="AP65" i="1"/>
  <c r="AN65" i="1"/>
  <c r="AK65" i="1"/>
  <c r="AJ65" i="1"/>
  <c r="AD65" i="1"/>
  <c r="AB65" i="1"/>
  <c r="CK65" i="1" s="1"/>
  <c r="Z65" i="1"/>
  <c r="BP65" i="1" s="1"/>
  <c r="X65" i="1"/>
  <c r="DB65" i="1" s="1"/>
  <c r="V65" i="1"/>
  <c r="U65" i="1"/>
  <c r="L65" i="1"/>
  <c r="M65" i="1" s="1"/>
  <c r="DK64" i="1"/>
  <c r="CY64" i="1"/>
  <c r="CE64" i="1"/>
  <c r="BK64" i="1"/>
  <c r="BL64" i="1" s="1"/>
  <c r="BJ64" i="1"/>
  <c r="AD64" i="1" s="1"/>
  <c r="AY64" i="1"/>
  <c r="AS64" i="1"/>
  <c r="AR64" i="1"/>
  <c r="AP64" i="1"/>
  <c r="AN64" i="1"/>
  <c r="AK64" i="1"/>
  <c r="AJ64" i="1"/>
  <c r="AB64" i="1"/>
  <c r="CK64" i="1" s="1"/>
  <c r="Z64" i="1"/>
  <c r="BQ64" i="1" s="1"/>
  <c r="X64" i="1"/>
  <c r="DA64" i="1" s="1"/>
  <c r="V64" i="1"/>
  <c r="U64" i="1"/>
  <c r="L64" i="1"/>
  <c r="M64" i="1" s="1"/>
  <c r="DK63" i="1"/>
  <c r="CY63" i="1"/>
  <c r="CE63" i="1"/>
  <c r="BS63" i="1"/>
  <c r="BK63" i="1"/>
  <c r="BM63" i="1" s="1"/>
  <c r="BJ63" i="1"/>
  <c r="AY63" i="1"/>
  <c r="AS63" i="1"/>
  <c r="AR63" i="1"/>
  <c r="AP63" i="1"/>
  <c r="AN63" i="1"/>
  <c r="AK63" i="1"/>
  <c r="AJ63" i="1"/>
  <c r="AD63" i="1"/>
  <c r="AB63" i="1"/>
  <c r="CK63" i="1" s="1"/>
  <c r="Z63" i="1"/>
  <c r="BR63" i="1" s="1"/>
  <c r="X63" i="1"/>
  <c r="DA63" i="1" s="1"/>
  <c r="V63" i="1"/>
  <c r="U63" i="1"/>
  <c r="L63" i="1"/>
  <c r="M63" i="1" s="1"/>
  <c r="DK62" i="1"/>
  <c r="CY62" i="1"/>
  <c r="CE62" i="1"/>
  <c r="BK62" i="1"/>
  <c r="BJ62" i="1"/>
  <c r="AD62" i="1" s="1"/>
  <c r="AY62" i="1"/>
  <c r="AS62" i="1"/>
  <c r="AR62" i="1"/>
  <c r="AP62" i="1"/>
  <c r="AN62" i="1"/>
  <c r="AK62" i="1"/>
  <c r="AJ62" i="1"/>
  <c r="AL62" i="1" s="1"/>
  <c r="AB62" i="1"/>
  <c r="CJ62" i="1" s="1"/>
  <c r="Z62" i="1"/>
  <c r="BQ62" i="1" s="1"/>
  <c r="X62" i="1"/>
  <c r="DA62" i="1" s="1"/>
  <c r="V62" i="1"/>
  <c r="U62" i="1"/>
  <c r="L62" i="1"/>
  <c r="M62" i="1" s="1"/>
  <c r="DK61" i="1"/>
  <c r="CY61" i="1"/>
  <c r="CE61" i="1"/>
  <c r="BK61" i="1"/>
  <c r="BJ61" i="1"/>
  <c r="AD61" i="1" s="1"/>
  <c r="AY61" i="1"/>
  <c r="AS61" i="1"/>
  <c r="AR61" i="1"/>
  <c r="AP61" i="1"/>
  <c r="AN61" i="1"/>
  <c r="AK61" i="1"/>
  <c r="AJ61" i="1"/>
  <c r="AL61" i="1" s="1"/>
  <c r="AB61" i="1"/>
  <c r="CK61" i="1" s="1"/>
  <c r="Z61" i="1"/>
  <c r="BQ61" i="1" s="1"/>
  <c r="X61" i="1"/>
  <c r="DA61" i="1" s="1"/>
  <c r="V61" i="1"/>
  <c r="U61" i="1"/>
  <c r="L61" i="1"/>
  <c r="M61" i="1" s="1"/>
  <c r="DK60" i="1"/>
  <c r="CY60" i="1"/>
  <c r="CE60" i="1"/>
  <c r="BS60" i="1"/>
  <c r="BK60" i="1"/>
  <c r="BM60" i="1" s="1"/>
  <c r="BJ60" i="1"/>
  <c r="AD60" i="1" s="1"/>
  <c r="AY60" i="1"/>
  <c r="AS60" i="1"/>
  <c r="AR60" i="1"/>
  <c r="AP60" i="1"/>
  <c r="AN60" i="1"/>
  <c r="AK60" i="1"/>
  <c r="AJ60" i="1"/>
  <c r="AB60" i="1"/>
  <c r="CK60" i="1" s="1"/>
  <c r="Z60" i="1"/>
  <c r="BR60" i="1" s="1"/>
  <c r="X60" i="1"/>
  <c r="DA60" i="1" s="1"/>
  <c r="V60" i="1"/>
  <c r="U60" i="1"/>
  <c r="L60" i="1"/>
  <c r="M60" i="1" s="1"/>
  <c r="DK59" i="1"/>
  <c r="CY59" i="1"/>
  <c r="CE59" i="1"/>
  <c r="BK59" i="1"/>
  <c r="BJ59" i="1"/>
  <c r="AD59" i="1" s="1"/>
  <c r="AY59" i="1"/>
  <c r="AS59" i="1"/>
  <c r="AR59" i="1"/>
  <c r="AP59" i="1"/>
  <c r="AN59" i="1"/>
  <c r="AK59" i="1"/>
  <c r="AJ59" i="1"/>
  <c r="AB59" i="1"/>
  <c r="CJ59" i="1" s="1"/>
  <c r="Z59" i="1"/>
  <c r="BQ59" i="1" s="1"/>
  <c r="X59" i="1"/>
  <c r="DA59" i="1" s="1"/>
  <c r="V59" i="1"/>
  <c r="U59" i="1"/>
  <c r="L59" i="1"/>
  <c r="M59" i="1" s="1"/>
  <c r="DK58" i="1"/>
  <c r="CY58" i="1"/>
  <c r="CE58" i="1"/>
  <c r="BK58" i="1"/>
  <c r="BJ58" i="1"/>
  <c r="AD58" i="1" s="1"/>
  <c r="AY58" i="1"/>
  <c r="AS58" i="1"/>
  <c r="AR58" i="1"/>
  <c r="AP58" i="1"/>
  <c r="AN58" i="1"/>
  <c r="AK58" i="1"/>
  <c r="AJ58" i="1"/>
  <c r="AB58" i="1"/>
  <c r="CI58" i="1" s="1"/>
  <c r="Z58" i="1"/>
  <c r="BP58" i="1" s="1"/>
  <c r="X58" i="1"/>
  <c r="V58" i="1"/>
  <c r="U58" i="1"/>
  <c r="L58" i="1"/>
  <c r="M58" i="1" s="1"/>
  <c r="DK57" i="1"/>
  <c r="CY57" i="1"/>
  <c r="CE57" i="1"/>
  <c r="BK57" i="1"/>
  <c r="BJ57" i="1"/>
  <c r="AD57" i="1" s="1"/>
  <c r="AY57" i="1"/>
  <c r="AS57" i="1"/>
  <c r="AR57" i="1"/>
  <c r="AP57" i="1"/>
  <c r="AN57" i="1"/>
  <c r="AK57" i="1"/>
  <c r="AJ57" i="1"/>
  <c r="AB57" i="1"/>
  <c r="CJ57" i="1" s="1"/>
  <c r="Z57" i="1"/>
  <c r="BQ57" i="1" s="1"/>
  <c r="X57" i="1"/>
  <c r="CZ57" i="1" s="1"/>
  <c r="V57" i="1"/>
  <c r="U57" i="1"/>
  <c r="M57" i="1"/>
  <c r="L57" i="1"/>
  <c r="DK56" i="1"/>
  <c r="CY56" i="1"/>
  <c r="CM56" i="1"/>
  <c r="CL56" i="1"/>
  <c r="CE56" i="1"/>
  <c r="BK56" i="1"/>
  <c r="BJ56" i="1"/>
  <c r="AY56" i="1"/>
  <c r="AS56" i="1"/>
  <c r="AR56" i="1"/>
  <c r="AP56" i="1"/>
  <c r="AN56" i="1"/>
  <c r="AK56" i="1"/>
  <c r="AL56" i="1" s="1"/>
  <c r="AJ56" i="1"/>
  <c r="AD56" i="1"/>
  <c r="AB56" i="1"/>
  <c r="CK56" i="1" s="1"/>
  <c r="Z56" i="1"/>
  <c r="BR56" i="1" s="1"/>
  <c r="X56" i="1"/>
  <c r="DA56" i="1" s="1"/>
  <c r="V56" i="1"/>
  <c r="U56" i="1"/>
  <c r="L56" i="1"/>
  <c r="M56" i="1" s="1"/>
  <c r="DK55" i="1"/>
  <c r="CY55" i="1"/>
  <c r="CK55" i="1"/>
  <c r="CJ55" i="1"/>
  <c r="CE55" i="1"/>
  <c r="BK55" i="1"/>
  <c r="BL55" i="1" s="1"/>
  <c r="BJ55" i="1"/>
  <c r="AY55" i="1"/>
  <c r="AS55" i="1"/>
  <c r="AR55" i="1"/>
  <c r="AP55" i="1"/>
  <c r="AN55" i="1"/>
  <c r="AK55" i="1"/>
  <c r="AJ55" i="1"/>
  <c r="AD55" i="1"/>
  <c r="AB55" i="1"/>
  <c r="CI55" i="1" s="1"/>
  <c r="Z55" i="1"/>
  <c r="BR55" i="1" s="1"/>
  <c r="X55" i="1"/>
  <c r="DA55" i="1" s="1"/>
  <c r="V55" i="1"/>
  <c r="U55" i="1"/>
  <c r="L55" i="1"/>
  <c r="M55" i="1" s="1"/>
  <c r="DK54" i="1"/>
  <c r="CY54" i="1"/>
  <c r="CE54" i="1"/>
  <c r="BS54" i="1"/>
  <c r="BP54" i="1"/>
  <c r="BK54" i="1"/>
  <c r="BJ54" i="1"/>
  <c r="AD54" i="1" s="1"/>
  <c r="AY54" i="1"/>
  <c r="AS54" i="1"/>
  <c r="AR54" i="1"/>
  <c r="AP54" i="1"/>
  <c r="AN54" i="1"/>
  <c r="AK54" i="1"/>
  <c r="AJ54" i="1"/>
  <c r="AC54" i="1"/>
  <c r="AB54" i="1"/>
  <c r="CJ54" i="1" s="1"/>
  <c r="Z54" i="1"/>
  <c r="BQ54" i="1" s="1"/>
  <c r="X54" i="1"/>
  <c r="CZ54" i="1" s="1"/>
  <c r="V54" i="1"/>
  <c r="U54" i="1"/>
  <c r="L54" i="1"/>
  <c r="M54" i="1" s="1"/>
  <c r="DK53" i="1"/>
  <c r="CY53" i="1"/>
  <c r="CE53" i="1"/>
  <c r="BK53" i="1"/>
  <c r="BJ53" i="1"/>
  <c r="AY53" i="1"/>
  <c r="AS53" i="1"/>
  <c r="AR53" i="1"/>
  <c r="AP53" i="1"/>
  <c r="AN53" i="1"/>
  <c r="AK53" i="1"/>
  <c r="AJ53" i="1"/>
  <c r="AL53" i="1" s="1"/>
  <c r="AD53" i="1"/>
  <c r="AB53" i="1"/>
  <c r="CI53" i="1" s="1"/>
  <c r="Z53" i="1"/>
  <c r="BR53" i="1" s="1"/>
  <c r="X53" i="1"/>
  <c r="DA53" i="1" s="1"/>
  <c r="V53" i="1"/>
  <c r="U53" i="1"/>
  <c r="L53" i="1"/>
  <c r="M53" i="1" s="1"/>
  <c r="DK52" i="1"/>
  <c r="CY52" i="1"/>
  <c r="DB52" i="1" s="1"/>
  <c r="CE52" i="1"/>
  <c r="BR52" i="1"/>
  <c r="BK52" i="1"/>
  <c r="BJ52" i="1"/>
  <c r="AD52" i="1" s="1"/>
  <c r="AY52" i="1"/>
  <c r="AS52" i="1"/>
  <c r="AR52" i="1"/>
  <c r="AP52" i="1"/>
  <c r="AN52" i="1"/>
  <c r="AK52" i="1"/>
  <c r="AJ52" i="1"/>
  <c r="AB52" i="1"/>
  <c r="CJ52" i="1" s="1"/>
  <c r="Z52" i="1"/>
  <c r="BP52" i="1" s="1"/>
  <c r="X52" i="1"/>
  <c r="DA52" i="1" s="1"/>
  <c r="V52" i="1"/>
  <c r="U52" i="1"/>
  <c r="M52" i="1"/>
  <c r="L52" i="1"/>
  <c r="BT101" i="1" l="1"/>
  <c r="CN101" i="1" s="1"/>
  <c r="BM53" i="1"/>
  <c r="CL55" i="1"/>
  <c r="AL57" i="1"/>
  <c r="BS62" i="1"/>
  <c r="BQ67" i="1"/>
  <c r="BL72" i="1"/>
  <c r="BS74" i="1"/>
  <c r="CK76" i="1"/>
  <c r="CI78" i="1"/>
  <c r="BR80" i="1"/>
  <c r="CJ87" i="1"/>
  <c r="BQ89" i="1"/>
  <c r="BT86" i="1"/>
  <c r="BT92" i="1"/>
  <c r="BL95" i="1"/>
  <c r="BT96" i="1"/>
  <c r="BQ98" i="1"/>
  <c r="BL99" i="1"/>
  <c r="CL99" i="1"/>
  <c r="BT100" i="1"/>
  <c r="CL100" i="1"/>
  <c r="BS101" i="1"/>
  <c r="CZ52" i="1"/>
  <c r="BT91" i="1"/>
  <c r="CL54" i="1"/>
  <c r="CI57" i="1"/>
  <c r="BO59" i="1"/>
  <c r="BO69" i="1"/>
  <c r="CJ70" i="1"/>
  <c r="BO72" i="1"/>
  <c r="AL77" i="1"/>
  <c r="BS80" i="1"/>
  <c r="DB83" i="1"/>
  <c r="BS85" i="1"/>
  <c r="CL87" i="1"/>
  <c r="BR89" i="1"/>
  <c r="CM90" i="1"/>
  <c r="DB86" i="1"/>
  <c r="BM91" i="1"/>
  <c r="CZ91" i="1"/>
  <c r="DB92" i="1"/>
  <c r="CK93" i="1"/>
  <c r="BR94" i="1"/>
  <c r="AL95" i="1"/>
  <c r="BS95" i="1"/>
  <c r="BS96" i="1"/>
  <c r="BR98" i="1"/>
  <c r="BT98" i="1" s="1"/>
  <c r="CG98" i="1" s="1"/>
  <c r="AL99" i="1"/>
  <c r="BO99" i="1"/>
  <c r="CM99" i="1"/>
  <c r="BS53" i="1"/>
  <c r="CM54" i="1"/>
  <c r="BM56" i="1"/>
  <c r="BR59" i="1"/>
  <c r="BR61" i="1"/>
  <c r="BT61" i="1" s="1"/>
  <c r="CG61" i="1" s="1"/>
  <c r="DB62" i="1"/>
  <c r="AC63" i="1"/>
  <c r="BR66" i="1"/>
  <c r="BQ69" i="1"/>
  <c r="DB70" i="1"/>
  <c r="BS82" i="1"/>
  <c r="BS89" i="1"/>
  <c r="BM92" i="1"/>
  <c r="AC93" i="1"/>
  <c r="CL93" i="1"/>
  <c r="CN93" i="1" s="1"/>
  <c r="BS94" i="1"/>
  <c r="CJ97" i="1"/>
  <c r="BS98" i="1"/>
  <c r="BQ99" i="1"/>
  <c r="CZ100" i="1"/>
  <c r="CL101" i="1"/>
  <c r="DB84" i="1"/>
  <c r="BQ52" i="1"/>
  <c r="BS61" i="1"/>
  <c r="CL64" i="1"/>
  <c r="BS66" i="1"/>
  <c r="BM68" i="1"/>
  <c r="BR69" i="1"/>
  <c r="DB72" i="1"/>
  <c r="AL73" i="1"/>
  <c r="BL73" i="1"/>
  <c r="AL75" i="1"/>
  <c r="CK77" i="1"/>
  <c r="BR79" i="1"/>
  <c r="BT79" i="1" s="1"/>
  <c r="BL81" i="1"/>
  <c r="BR84" i="1"/>
  <c r="CK85" i="1"/>
  <c r="AL86" i="1"/>
  <c r="BL86" i="1"/>
  <c r="BO91" i="1"/>
  <c r="CK95" i="1"/>
  <c r="CJ96" i="1"/>
  <c r="CK97" i="1"/>
  <c r="BR99" i="1"/>
  <c r="AL100" i="1"/>
  <c r="BM100" i="1"/>
  <c r="BQ58" i="1"/>
  <c r="CL59" i="1"/>
  <c r="CL82" i="1"/>
  <c r="CL85" i="1"/>
  <c r="BQ91" i="1"/>
  <c r="DB93" i="1"/>
  <c r="CL94" i="1"/>
  <c r="CL95" i="1"/>
  <c r="CK96" i="1"/>
  <c r="CL97" i="1"/>
  <c r="BS99" i="1"/>
  <c r="BT99" i="1" s="1"/>
  <c r="CZ101" i="1"/>
  <c r="BR58" i="1"/>
  <c r="AL63" i="1"/>
  <c r="BP63" i="1"/>
  <c r="DB66" i="1"/>
  <c r="CL73" i="1"/>
  <c r="DB82" i="1"/>
  <c r="CM88" i="1"/>
  <c r="BL90" i="1"/>
  <c r="BS91" i="1"/>
  <c r="BR93" i="1"/>
  <c r="DA93" i="1"/>
  <c r="BM94" i="1"/>
  <c r="CM95" i="1"/>
  <c r="CL96" i="1"/>
  <c r="BT97" i="1"/>
  <c r="DB97" i="1"/>
  <c r="BQ100" i="1"/>
  <c r="BO101" i="1"/>
  <c r="DB68" i="1"/>
  <c r="BT53" i="1"/>
  <c r="BS58" i="1"/>
  <c r="CZ61" i="1"/>
  <c r="AL70" i="1"/>
  <c r="AL74" i="1"/>
  <c r="AL78" i="1"/>
  <c r="BT93" i="1"/>
  <c r="AL94" i="1"/>
  <c r="BT95" i="1"/>
  <c r="CG95" i="1" s="1"/>
  <c r="AL98" i="1"/>
  <c r="CJ99" i="1"/>
  <c r="CG101" i="1"/>
  <c r="CM101" i="1"/>
  <c r="BM101" i="1"/>
  <c r="BN101" i="1"/>
  <c r="CH101" i="1"/>
  <c r="AC101" i="1"/>
  <c r="CI101" i="1"/>
  <c r="CJ101" i="1"/>
  <c r="CG100" i="1"/>
  <c r="BL100" i="1"/>
  <c r="CM100" i="1"/>
  <c r="CN100" i="1" s="1"/>
  <c r="BN100" i="1"/>
  <c r="CH100" i="1"/>
  <c r="AC100" i="1"/>
  <c r="BP100" i="1"/>
  <c r="CI100" i="1"/>
  <c r="CJ100" i="1"/>
  <c r="CG99" i="1"/>
  <c r="CN99" i="1"/>
  <c r="BM99" i="1"/>
  <c r="BN99" i="1"/>
  <c r="CH99" i="1"/>
  <c r="CZ99" i="1"/>
  <c r="AC99" i="1"/>
  <c r="DA99" i="1"/>
  <c r="CM98" i="1"/>
  <c r="BM98" i="1"/>
  <c r="BN98" i="1"/>
  <c r="CH98" i="1"/>
  <c r="AC98" i="1"/>
  <c r="CI98" i="1"/>
  <c r="CJ98" i="1"/>
  <c r="CG97" i="1"/>
  <c r="CM97" i="1"/>
  <c r="CN97" i="1" s="1"/>
  <c r="BM97" i="1"/>
  <c r="BN97" i="1"/>
  <c r="BO97" i="1"/>
  <c r="CH97" i="1"/>
  <c r="CZ97" i="1"/>
  <c r="AC97" i="1"/>
  <c r="BP97" i="1"/>
  <c r="BQ97" i="1"/>
  <c r="CG96" i="1"/>
  <c r="CN96" i="1"/>
  <c r="CM96" i="1"/>
  <c r="BM96" i="1"/>
  <c r="BN96" i="1"/>
  <c r="BO96" i="1"/>
  <c r="CH96" i="1"/>
  <c r="CZ96" i="1"/>
  <c r="AC96" i="1"/>
  <c r="BP96" i="1"/>
  <c r="BM95" i="1"/>
  <c r="BN95" i="1"/>
  <c r="BO95" i="1"/>
  <c r="CH95" i="1"/>
  <c r="CZ95" i="1"/>
  <c r="AC95" i="1"/>
  <c r="BP95" i="1"/>
  <c r="CI95" i="1"/>
  <c r="BQ95" i="1"/>
  <c r="CM94" i="1"/>
  <c r="BN94" i="1"/>
  <c r="CH94" i="1"/>
  <c r="AC94" i="1"/>
  <c r="CI94" i="1"/>
  <c r="CJ94" i="1"/>
  <c r="CG93" i="1"/>
  <c r="BM93" i="1"/>
  <c r="BN93" i="1"/>
  <c r="BO93" i="1"/>
  <c r="CH93" i="1"/>
  <c r="CG92" i="1"/>
  <c r="CN92" i="1"/>
  <c r="BN92" i="1"/>
  <c r="BO92" i="1"/>
  <c r="CH92" i="1"/>
  <c r="CZ92" i="1"/>
  <c r="AC92" i="1"/>
  <c r="BP92" i="1"/>
  <c r="CI92" i="1"/>
  <c r="BQ92" i="1"/>
  <c r="CG91" i="1"/>
  <c r="CM91" i="1"/>
  <c r="CN91" i="1" s="1"/>
  <c r="BN91" i="1"/>
  <c r="CH91" i="1"/>
  <c r="AC91" i="1"/>
  <c r="BP91" i="1"/>
  <c r="CI91" i="1"/>
  <c r="CJ91" i="1"/>
  <c r="CG86" i="1"/>
  <c r="CM86" i="1"/>
  <c r="CN86" i="1" s="1"/>
  <c r="BN86" i="1"/>
  <c r="BO86" i="1"/>
  <c r="CH86" i="1"/>
  <c r="CZ86" i="1"/>
  <c r="AC86" i="1"/>
  <c r="BP86" i="1"/>
  <c r="BQ86" i="1"/>
  <c r="BL54" i="1"/>
  <c r="AL60" i="1"/>
  <c r="BT69" i="1"/>
  <c r="BS52" i="1"/>
  <c r="BT52" i="1" s="1"/>
  <c r="CG52" i="1" s="1"/>
  <c r="AL54" i="1"/>
  <c r="DB54" i="1"/>
  <c r="DB55" i="1"/>
  <c r="AC57" i="1"/>
  <c r="CL57" i="1"/>
  <c r="BS59" i="1"/>
  <c r="CK62" i="1"/>
  <c r="CM64" i="1"/>
  <c r="CJ65" i="1"/>
  <c r="BR67" i="1"/>
  <c r="BS69" i="1"/>
  <c r="BS71" i="1"/>
  <c r="BQ72" i="1"/>
  <c r="BR74" i="1"/>
  <c r="BQ75" i="1"/>
  <c r="AL76" i="1"/>
  <c r="BL76" i="1"/>
  <c r="DB77" i="1"/>
  <c r="CK78" i="1"/>
  <c r="BR81" i="1"/>
  <c r="CJ82" i="1"/>
  <c r="CK83" i="1"/>
  <c r="CL84" i="1"/>
  <c r="CN84" i="1" s="1"/>
  <c r="CM85" i="1"/>
  <c r="BL88" i="1"/>
  <c r="CZ88" i="1"/>
  <c r="CL89" i="1"/>
  <c r="AL68" i="1"/>
  <c r="BT90" i="1"/>
  <c r="BR54" i="1"/>
  <c r="BT54" i="1" s="1"/>
  <c r="DA54" i="1"/>
  <c r="BM55" i="1"/>
  <c r="CZ55" i="1"/>
  <c r="BL57" i="1"/>
  <c r="CM57" i="1"/>
  <c r="DB58" i="1"/>
  <c r="CJ58" i="1"/>
  <c r="CL60" i="1"/>
  <c r="CL61" i="1"/>
  <c r="CL62" i="1"/>
  <c r="BT63" i="1"/>
  <c r="CL63" i="1"/>
  <c r="DB64" i="1"/>
  <c r="CL65" i="1"/>
  <c r="CL66" i="1"/>
  <c r="BS67" i="1"/>
  <c r="BR72" i="1"/>
  <c r="BM73" i="1"/>
  <c r="BQ76" i="1"/>
  <c r="AC78" i="1"/>
  <c r="CL78" i="1"/>
  <c r="DB79" i="1"/>
  <c r="CK79" i="1"/>
  <c r="DB80" i="1"/>
  <c r="CJ80" i="1"/>
  <c r="BS81" i="1"/>
  <c r="CK82" i="1"/>
  <c r="CL83" i="1"/>
  <c r="CM84" i="1"/>
  <c r="BT85" i="1"/>
  <c r="DB85" i="1"/>
  <c r="BM87" i="1"/>
  <c r="AL88" i="1"/>
  <c r="BO88" i="1"/>
  <c r="CL90" i="1"/>
  <c r="CN90" i="1" s="1"/>
  <c r="BL53" i="1"/>
  <c r="BT59" i="1"/>
  <c r="CK52" i="1"/>
  <c r="CJ53" i="1"/>
  <c r="AL55" i="1"/>
  <c r="BP57" i="1"/>
  <c r="DB57" i="1"/>
  <c r="CK58" i="1"/>
  <c r="CK59" i="1"/>
  <c r="CM60" i="1"/>
  <c r="DB61" i="1"/>
  <c r="CM62" i="1"/>
  <c r="DB63" i="1"/>
  <c r="AL65" i="1"/>
  <c r="BM65" i="1"/>
  <c r="CM66" i="1"/>
  <c r="CM68" i="1"/>
  <c r="CJ69" i="1"/>
  <c r="CL70" i="1"/>
  <c r="CL71" i="1"/>
  <c r="BS75" i="1"/>
  <c r="BT75" i="1" s="1"/>
  <c r="BR76" i="1"/>
  <c r="BR77" i="1"/>
  <c r="DB78" i="1"/>
  <c r="CL79" i="1"/>
  <c r="CK80" i="1"/>
  <c r="BT82" i="1"/>
  <c r="BP88" i="1"/>
  <c r="CZ89" i="1"/>
  <c r="CL76" i="1"/>
  <c r="CL52" i="1"/>
  <c r="CK53" i="1"/>
  <c r="BS55" i="1"/>
  <c r="BT55" i="1" s="1"/>
  <c r="CG55" i="1" s="1"/>
  <c r="BS56" i="1"/>
  <c r="BT56" i="1" s="1"/>
  <c r="BR57" i="1"/>
  <c r="DA57" i="1"/>
  <c r="CL58" i="1"/>
  <c r="DB60" i="1"/>
  <c r="BO65" i="1"/>
  <c r="CJ67" i="1"/>
  <c r="BT68" i="1"/>
  <c r="CK69" i="1"/>
  <c r="BT70" i="1"/>
  <c r="DB74" i="1"/>
  <c r="CJ74" i="1"/>
  <c r="BS76" i="1"/>
  <c r="BS77" i="1"/>
  <c r="BP78" i="1"/>
  <c r="DA78" i="1"/>
  <c r="CL80" i="1"/>
  <c r="BL84" i="1"/>
  <c r="AL85" i="1"/>
  <c r="BL85" i="1"/>
  <c r="AL87" i="1"/>
  <c r="BS87" i="1"/>
  <c r="BT87" i="1" s="1"/>
  <c r="CG87" i="1" s="1"/>
  <c r="BS88" i="1"/>
  <c r="BT88" i="1" s="1"/>
  <c r="BO89" i="1"/>
  <c r="DB89" i="1"/>
  <c r="DB90" i="1"/>
  <c r="CL75" i="1"/>
  <c r="DB56" i="1"/>
  <c r="BT66" i="1"/>
  <c r="CG66" i="1" s="1"/>
  <c r="BT71" i="1"/>
  <c r="AL52" i="1"/>
  <c r="BL52" i="1"/>
  <c r="CL53" i="1"/>
  <c r="CI54" i="1"/>
  <c r="BS57" i="1"/>
  <c r="AL58" i="1"/>
  <c r="BL58" i="1"/>
  <c r="DB59" i="1"/>
  <c r="BT60" i="1"/>
  <c r="BL61" i="1"/>
  <c r="BL62" i="1"/>
  <c r="AL64" i="1"/>
  <c r="BR64" i="1"/>
  <c r="BQ65" i="1"/>
  <c r="AL66" i="1"/>
  <c r="BO66" i="1"/>
  <c r="CZ66" i="1"/>
  <c r="CL67" i="1"/>
  <c r="AL69" i="1"/>
  <c r="BL69" i="1"/>
  <c r="CL69" i="1"/>
  <c r="AL71" i="1"/>
  <c r="BL71" i="1"/>
  <c r="CZ71" i="1"/>
  <c r="CZ72" i="1"/>
  <c r="CM73" i="1"/>
  <c r="CK74" i="1"/>
  <c r="DB75" i="1"/>
  <c r="CJ75" i="1"/>
  <c r="BR78" i="1"/>
  <c r="BT78" i="1" s="1"/>
  <c r="BL79" i="1"/>
  <c r="AL80" i="1"/>
  <c r="BL80" i="1"/>
  <c r="BM82" i="1"/>
  <c r="AL83" i="1"/>
  <c r="BL83" i="1"/>
  <c r="BT84" i="1"/>
  <c r="CZ90" i="1"/>
  <c r="CK57" i="1"/>
  <c r="BL75" i="1"/>
  <c r="DB87" i="1"/>
  <c r="BO52" i="1"/>
  <c r="DB53" i="1"/>
  <c r="CK54" i="1"/>
  <c r="AL59" i="1"/>
  <c r="BL59" i="1"/>
  <c r="CZ59" i="1"/>
  <c r="BO61" i="1"/>
  <c r="BR62" i="1"/>
  <c r="BT62" i="1" s="1"/>
  <c r="BS64" i="1"/>
  <c r="BT64" i="1" s="1"/>
  <c r="BR65" i="1"/>
  <c r="BT65" i="1" s="1"/>
  <c r="BP66" i="1"/>
  <c r="AL67" i="1"/>
  <c r="BM70" i="1"/>
  <c r="BO71" i="1"/>
  <c r="BM72" i="1"/>
  <c r="CL74" i="1"/>
  <c r="CK75" i="1"/>
  <c r="CJ76" i="1"/>
  <c r="BS78" i="1"/>
  <c r="BQ79" i="1"/>
  <c r="BQ80" i="1"/>
  <c r="AL81" i="1"/>
  <c r="AL82" i="1"/>
  <c r="BR83" i="1"/>
  <c r="BT83" i="1" s="1"/>
  <c r="CG83" i="1" s="1"/>
  <c r="CL88" i="1"/>
  <c r="BT89" i="1"/>
  <c r="BO90" i="1"/>
  <c r="CG90" i="1"/>
  <c r="BM90" i="1"/>
  <c r="BN90" i="1"/>
  <c r="CH90" i="1"/>
  <c r="AC90" i="1"/>
  <c r="BP90" i="1"/>
  <c r="CI90" i="1"/>
  <c r="CJ90" i="1"/>
  <c r="CG89" i="1"/>
  <c r="CM89" i="1"/>
  <c r="BM89" i="1"/>
  <c r="BN89" i="1"/>
  <c r="CH89" i="1"/>
  <c r="AC89" i="1"/>
  <c r="CI89" i="1"/>
  <c r="CJ89" i="1"/>
  <c r="BM88" i="1"/>
  <c r="BN88" i="1"/>
  <c r="CH88" i="1"/>
  <c r="AC88" i="1"/>
  <c r="CI88" i="1"/>
  <c r="BQ88" i="1"/>
  <c r="CJ88" i="1"/>
  <c r="CM87" i="1"/>
  <c r="BN87" i="1"/>
  <c r="BO87" i="1"/>
  <c r="CH87" i="1"/>
  <c r="CZ87" i="1"/>
  <c r="AC87" i="1"/>
  <c r="BP87" i="1"/>
  <c r="CI87" i="1"/>
  <c r="BQ87" i="1"/>
  <c r="CG85" i="1"/>
  <c r="CN85" i="1"/>
  <c r="BM85" i="1"/>
  <c r="BN85" i="1"/>
  <c r="BO85" i="1"/>
  <c r="CH85" i="1"/>
  <c r="CZ85" i="1"/>
  <c r="AC85" i="1"/>
  <c r="BP85" i="1"/>
  <c r="CI85" i="1"/>
  <c r="BQ85" i="1"/>
  <c r="CG84" i="1"/>
  <c r="BM84" i="1"/>
  <c r="BN84" i="1"/>
  <c r="BO84" i="1"/>
  <c r="CH84" i="1"/>
  <c r="CZ84" i="1"/>
  <c r="AC84" i="1"/>
  <c r="BP84" i="1"/>
  <c r="CI84" i="1"/>
  <c r="CM83" i="1"/>
  <c r="BM83" i="1"/>
  <c r="BN83" i="1"/>
  <c r="BO83" i="1"/>
  <c r="CH83" i="1"/>
  <c r="CZ83" i="1"/>
  <c r="AC83" i="1"/>
  <c r="BP83" i="1"/>
  <c r="CI83" i="1"/>
  <c r="CG82" i="1"/>
  <c r="CM82" i="1"/>
  <c r="CN82" i="1" s="1"/>
  <c r="BN82" i="1"/>
  <c r="BO82" i="1"/>
  <c r="CH82" i="1"/>
  <c r="CZ82" i="1"/>
  <c r="AC82" i="1"/>
  <c r="BP82" i="1"/>
  <c r="BQ82" i="1"/>
  <c r="CM81" i="1"/>
  <c r="BM81" i="1"/>
  <c r="BN81" i="1"/>
  <c r="CH81" i="1"/>
  <c r="CZ81" i="1"/>
  <c r="AC81" i="1"/>
  <c r="CI81" i="1"/>
  <c r="DA81" i="1"/>
  <c r="CJ81" i="1"/>
  <c r="CM80" i="1"/>
  <c r="BM80" i="1"/>
  <c r="BN80" i="1"/>
  <c r="BO80" i="1"/>
  <c r="CH80" i="1"/>
  <c r="CZ80" i="1"/>
  <c r="AC80" i="1"/>
  <c r="DA80" i="1"/>
  <c r="CG79" i="1"/>
  <c r="CM79" i="1"/>
  <c r="CN79" i="1" s="1"/>
  <c r="BM79" i="1"/>
  <c r="BN79" i="1"/>
  <c r="BO79" i="1"/>
  <c r="CH79" i="1"/>
  <c r="CZ79" i="1"/>
  <c r="AC79" i="1"/>
  <c r="CI79" i="1"/>
  <c r="DA79" i="1"/>
  <c r="CG78" i="1"/>
  <c r="CN78" i="1"/>
  <c r="CM78" i="1"/>
  <c r="BM78" i="1"/>
  <c r="BN78" i="1"/>
  <c r="BO78" i="1"/>
  <c r="CH78" i="1"/>
  <c r="BM77" i="1"/>
  <c r="BN77" i="1"/>
  <c r="BO77" i="1"/>
  <c r="CH77" i="1"/>
  <c r="CZ77" i="1"/>
  <c r="AC77" i="1"/>
  <c r="BP77" i="1"/>
  <c r="CI77" i="1"/>
  <c r="CM76" i="1"/>
  <c r="BM76" i="1"/>
  <c r="BN76" i="1"/>
  <c r="BO76" i="1"/>
  <c r="CH76" i="1"/>
  <c r="CZ76" i="1"/>
  <c r="AC76" i="1"/>
  <c r="DA76" i="1"/>
  <c r="CM75" i="1"/>
  <c r="BM75" i="1"/>
  <c r="BN75" i="1"/>
  <c r="BO75" i="1"/>
  <c r="CH75" i="1"/>
  <c r="CZ75" i="1"/>
  <c r="AC75" i="1"/>
  <c r="DA75" i="1"/>
  <c r="CM74" i="1"/>
  <c r="BM74" i="1"/>
  <c r="BN74" i="1"/>
  <c r="BO74" i="1"/>
  <c r="CH74" i="1"/>
  <c r="CZ74" i="1"/>
  <c r="AC74" i="1"/>
  <c r="DA74" i="1"/>
  <c r="BS73" i="1"/>
  <c r="BT73" i="1" s="1"/>
  <c r="BN73" i="1"/>
  <c r="BO73" i="1"/>
  <c r="CH73" i="1"/>
  <c r="CZ73" i="1"/>
  <c r="AC73" i="1"/>
  <c r="BP73" i="1"/>
  <c r="CI73" i="1"/>
  <c r="BQ73" i="1"/>
  <c r="CJ73" i="1"/>
  <c r="BS72" i="1"/>
  <c r="CL72" i="1"/>
  <c r="CM72" i="1"/>
  <c r="BN72" i="1"/>
  <c r="CH72" i="1"/>
  <c r="AC72" i="1"/>
  <c r="CI72" i="1"/>
  <c r="CJ72" i="1"/>
  <c r="CG71" i="1"/>
  <c r="CM71" i="1"/>
  <c r="CN71" i="1" s="1"/>
  <c r="BN71" i="1"/>
  <c r="CH71" i="1"/>
  <c r="AC71" i="1"/>
  <c r="CI71" i="1"/>
  <c r="CJ71" i="1"/>
  <c r="CG70" i="1"/>
  <c r="CM70" i="1"/>
  <c r="CN70" i="1" s="1"/>
  <c r="BN70" i="1"/>
  <c r="BO70" i="1"/>
  <c r="CH70" i="1"/>
  <c r="CZ70" i="1"/>
  <c r="AC70" i="1"/>
  <c r="BP70" i="1"/>
  <c r="CI70" i="1"/>
  <c r="BQ70" i="1"/>
  <c r="CG69" i="1"/>
  <c r="CM69" i="1"/>
  <c r="BM69" i="1"/>
  <c r="BN69" i="1"/>
  <c r="CH69" i="1"/>
  <c r="CZ69" i="1"/>
  <c r="AC69" i="1"/>
  <c r="DA69" i="1"/>
  <c r="CG68" i="1"/>
  <c r="CN68" i="1"/>
  <c r="BL68" i="1"/>
  <c r="BN68" i="1"/>
  <c r="BO68" i="1"/>
  <c r="CH68" i="1"/>
  <c r="CZ68" i="1"/>
  <c r="AC68" i="1"/>
  <c r="BP68" i="1"/>
  <c r="CI68" i="1"/>
  <c r="BQ68" i="1"/>
  <c r="CJ68" i="1"/>
  <c r="BL67" i="1"/>
  <c r="CM67" i="1"/>
  <c r="BN67" i="1"/>
  <c r="CH67" i="1"/>
  <c r="CZ67" i="1"/>
  <c r="AC67" i="1"/>
  <c r="CI67" i="1"/>
  <c r="DA67" i="1"/>
  <c r="BM66" i="1"/>
  <c r="BN66" i="1"/>
  <c r="CH66" i="1"/>
  <c r="AC66" i="1"/>
  <c r="CI66" i="1"/>
  <c r="CJ66" i="1"/>
  <c r="CG65" i="1"/>
  <c r="BL65" i="1"/>
  <c r="CM65" i="1"/>
  <c r="CN65" i="1" s="1"/>
  <c r="BN65" i="1"/>
  <c r="CH65" i="1"/>
  <c r="CZ65" i="1"/>
  <c r="AC65" i="1"/>
  <c r="CI65" i="1"/>
  <c r="DA65" i="1"/>
  <c r="CG64" i="1"/>
  <c r="CN64" i="1"/>
  <c r="BM64" i="1"/>
  <c r="BN64" i="1"/>
  <c r="BO64" i="1"/>
  <c r="CH64" i="1"/>
  <c r="CZ64" i="1"/>
  <c r="AC64" i="1"/>
  <c r="BP64" i="1"/>
  <c r="CI64" i="1"/>
  <c r="CJ64" i="1"/>
  <c r="CG63" i="1"/>
  <c r="BL63" i="1"/>
  <c r="CM63" i="1"/>
  <c r="CN63" i="1" s="1"/>
  <c r="BN63" i="1"/>
  <c r="BO63" i="1"/>
  <c r="CH63" i="1"/>
  <c r="CZ63" i="1"/>
  <c r="CI63" i="1"/>
  <c r="BQ63" i="1"/>
  <c r="CJ63" i="1"/>
  <c r="CG62" i="1"/>
  <c r="CN62" i="1"/>
  <c r="BM62" i="1"/>
  <c r="BN62" i="1"/>
  <c r="BO62" i="1"/>
  <c r="CH62" i="1"/>
  <c r="CZ62" i="1"/>
  <c r="AC62" i="1"/>
  <c r="BP62" i="1"/>
  <c r="CI62" i="1"/>
  <c r="CM61" i="1"/>
  <c r="BM61" i="1"/>
  <c r="BN61" i="1"/>
  <c r="CH61" i="1"/>
  <c r="AC61" i="1"/>
  <c r="BP61" i="1"/>
  <c r="CI61" i="1"/>
  <c r="CJ61" i="1"/>
  <c r="CG60" i="1"/>
  <c r="CN60" i="1"/>
  <c r="BL60" i="1"/>
  <c r="BN60" i="1"/>
  <c r="BO60" i="1"/>
  <c r="CH60" i="1"/>
  <c r="CZ60" i="1"/>
  <c r="AC60" i="1"/>
  <c r="BP60" i="1"/>
  <c r="CI60" i="1"/>
  <c r="BQ60" i="1"/>
  <c r="CJ60" i="1"/>
  <c r="CG59" i="1"/>
  <c r="CM59" i="1"/>
  <c r="CN59" i="1" s="1"/>
  <c r="BM59" i="1"/>
  <c r="BN59" i="1"/>
  <c r="CH59" i="1"/>
  <c r="AC59" i="1"/>
  <c r="BP59" i="1"/>
  <c r="CI59" i="1"/>
  <c r="CM58" i="1"/>
  <c r="BM58" i="1"/>
  <c r="BN58" i="1"/>
  <c r="BO58" i="1"/>
  <c r="CH58" i="1"/>
  <c r="CZ58" i="1"/>
  <c r="AC58" i="1"/>
  <c r="DA58" i="1"/>
  <c r="BM57" i="1"/>
  <c r="BN57" i="1"/>
  <c r="BO57" i="1"/>
  <c r="CH57" i="1"/>
  <c r="BL56" i="1"/>
  <c r="BN56" i="1"/>
  <c r="BO56" i="1"/>
  <c r="CH56" i="1"/>
  <c r="CZ56" i="1"/>
  <c r="AC56" i="1"/>
  <c r="BP56" i="1"/>
  <c r="CI56" i="1"/>
  <c r="BQ56" i="1"/>
  <c r="CJ56" i="1"/>
  <c r="CM55" i="1"/>
  <c r="BN55" i="1"/>
  <c r="BO55" i="1"/>
  <c r="CH55" i="1"/>
  <c r="AC55" i="1"/>
  <c r="BP55" i="1"/>
  <c r="BQ55" i="1"/>
  <c r="BM54" i="1"/>
  <c r="BN54" i="1"/>
  <c r="BO54" i="1"/>
  <c r="CH54" i="1"/>
  <c r="CG53" i="1"/>
  <c r="CN53" i="1"/>
  <c r="CM53" i="1"/>
  <c r="BN53" i="1"/>
  <c r="BO53" i="1"/>
  <c r="CH53" i="1"/>
  <c r="CZ53" i="1"/>
  <c r="AC53" i="1"/>
  <c r="BP53" i="1"/>
  <c r="BQ53" i="1"/>
  <c r="CM52" i="1"/>
  <c r="BM52" i="1"/>
  <c r="BN52" i="1"/>
  <c r="CH52" i="1"/>
  <c r="AC52" i="1"/>
  <c r="CI52" i="1"/>
  <c r="BT74" i="1" l="1"/>
  <c r="CN98" i="1"/>
  <c r="BT72" i="1"/>
  <c r="CG72" i="1" s="1"/>
  <c r="BT58" i="1"/>
  <c r="CG58" i="1" s="1"/>
  <c r="CN61" i="1"/>
  <c r="CN66" i="1"/>
  <c r="CN95" i="1"/>
  <c r="BT94" i="1"/>
  <c r="CG94" i="1" s="1"/>
  <c r="BT80" i="1"/>
  <c r="CG80" i="1" s="1"/>
  <c r="CN69" i="1"/>
  <c r="CG56" i="1"/>
  <c r="CN56" i="1"/>
  <c r="CG88" i="1"/>
  <c r="CN88" i="1"/>
  <c r="CG75" i="1"/>
  <c r="CN75" i="1"/>
  <c r="CG54" i="1"/>
  <c r="CN54" i="1"/>
  <c r="BT57" i="1"/>
  <c r="BT76" i="1"/>
  <c r="CG76" i="1" s="1"/>
  <c r="BT81" i="1"/>
  <c r="CN52" i="1"/>
  <c r="CN55" i="1"/>
  <c r="BT67" i="1"/>
  <c r="CN87" i="1"/>
  <c r="CN80" i="1"/>
  <c r="CN83" i="1"/>
  <c r="CN89" i="1"/>
  <c r="BT77" i="1"/>
  <c r="CG73" i="1"/>
  <c r="CN73" i="1"/>
  <c r="CN58" i="1" l="1"/>
  <c r="CN72" i="1"/>
  <c r="CN94" i="1"/>
  <c r="CG74" i="1"/>
  <c r="CN74" i="1"/>
  <c r="CG67" i="1"/>
  <c r="CN67" i="1"/>
  <c r="CN76" i="1"/>
  <c r="CG77" i="1"/>
  <c r="CN77" i="1"/>
  <c r="CG81" i="1"/>
  <c r="CN81" i="1"/>
  <c r="CG57" i="1"/>
  <c r="CN57" i="1"/>
</calcChain>
</file>

<file path=xl/sharedStrings.xml><?xml version="1.0" encoding="utf-8"?>
<sst xmlns="http://schemas.openxmlformats.org/spreadsheetml/2006/main" count="740" uniqueCount="465">
  <si>
    <t>First Name</t>
  </si>
  <si>
    <t>Last Name</t>
  </si>
  <si>
    <t>BTN Code</t>
  </si>
  <si>
    <t>End Team</t>
  </si>
  <si>
    <t>Pos</t>
  </si>
  <si>
    <t>GP</t>
  </si>
  <si>
    <t>ESG</t>
  </si>
  <si>
    <t>ESA</t>
  </si>
  <si>
    <t>ESP</t>
  </si>
  <si>
    <t>ESP/60</t>
  </si>
  <si>
    <t>55G</t>
  </si>
  <si>
    <t>55A1</t>
  </si>
  <si>
    <t>55A2</t>
  </si>
  <si>
    <t>ESShot</t>
  </si>
  <si>
    <t>ESMiss</t>
  </si>
  <si>
    <t>ESBlked</t>
  </si>
  <si>
    <t>ESChances</t>
  </si>
  <si>
    <t>ESSh%</t>
  </si>
  <si>
    <t>ESCoSH%</t>
  </si>
  <si>
    <t>ESTOI</t>
  </si>
  <si>
    <t>ESTOI/G</t>
  </si>
  <si>
    <t>55TOI</t>
  </si>
  <si>
    <t>55TOI/G</t>
  </si>
  <si>
    <t>55TOF</t>
  </si>
  <si>
    <t>55TOF/G</t>
  </si>
  <si>
    <t>ES%</t>
  </si>
  <si>
    <t>ESPass</t>
  </si>
  <si>
    <t>ESBlk</t>
  </si>
  <si>
    <t>ESHitF</t>
  </si>
  <si>
    <t>ESHitA</t>
  </si>
  <si>
    <t>ESGive</t>
  </si>
  <si>
    <t>ESTake</t>
  </si>
  <si>
    <t>ESIGP</t>
  </si>
  <si>
    <t>ESIAP</t>
  </si>
  <si>
    <t>ESIPP</t>
  </si>
  <si>
    <t>ESOZFO</t>
  </si>
  <si>
    <t>ESOZ%</t>
  </si>
  <si>
    <t>ESDZFO</t>
  </si>
  <si>
    <t>ESDZ%</t>
  </si>
  <si>
    <t>ESNZFO</t>
  </si>
  <si>
    <t>ESNZ%</t>
  </si>
  <si>
    <t>OZ%</t>
  </si>
  <si>
    <t>OZRk</t>
  </si>
  <si>
    <t>RelOZ%</t>
  </si>
  <si>
    <t>ESOZF</t>
  </si>
  <si>
    <t>ESDZF</t>
  </si>
  <si>
    <t>ESNZF</t>
  </si>
  <si>
    <t>OZF%</t>
  </si>
  <si>
    <t>T-QoC</t>
  </si>
  <si>
    <t>T-QoC Rk</t>
  </si>
  <si>
    <t>RCQoC</t>
  </si>
  <si>
    <t>QoCRk</t>
  </si>
  <si>
    <t xml:space="preserve">CQoC </t>
  </si>
  <si>
    <t>Cor%QoC</t>
  </si>
  <si>
    <t>T-QoT</t>
  </si>
  <si>
    <t>RCQoT</t>
  </si>
  <si>
    <t xml:space="preserve">CQoT </t>
  </si>
  <si>
    <t>Cor%QoT</t>
  </si>
  <si>
    <t>ESOISH%</t>
  </si>
  <si>
    <t>ESOISV%</t>
  </si>
  <si>
    <t>PDO</t>
  </si>
  <si>
    <t>SPD</t>
  </si>
  <si>
    <t>TmESGF/60</t>
  </si>
  <si>
    <t>TmESGA/60</t>
  </si>
  <si>
    <t>TmESSF/60</t>
  </si>
  <si>
    <t>TmESSA/60</t>
  </si>
  <si>
    <t>TmESCF/60</t>
  </si>
  <si>
    <t>TmESCA/60</t>
  </si>
  <si>
    <t>Corsi</t>
  </si>
  <si>
    <t>TmESGF</t>
  </si>
  <si>
    <t>TmESGA</t>
  </si>
  <si>
    <t>TmESSVA</t>
  </si>
  <si>
    <t>TmESSVF</t>
  </si>
  <si>
    <t>TmESMF</t>
  </si>
  <si>
    <t>TmESMA</t>
  </si>
  <si>
    <t>TmESBF</t>
  </si>
  <si>
    <t>TmESBA</t>
  </si>
  <si>
    <t>TmESSCF`</t>
  </si>
  <si>
    <t>TmESSCA</t>
  </si>
  <si>
    <t>ESSC%</t>
  </si>
  <si>
    <t>ESRelSC%</t>
  </si>
  <si>
    <t>Adj Corsi</t>
  </si>
  <si>
    <t>oTmESGF/60</t>
  </si>
  <si>
    <t>oTmESGA/60</t>
  </si>
  <si>
    <t>oTmESSF/60</t>
  </si>
  <si>
    <t>oTmESSA/60</t>
  </si>
  <si>
    <t>oTmESCF/60</t>
  </si>
  <si>
    <t>oTmESCA/60</t>
  </si>
  <si>
    <t>RelC</t>
  </si>
  <si>
    <t>oTmESGF</t>
  </si>
  <si>
    <t>oTmESGA</t>
  </si>
  <si>
    <t>oTmESSVA</t>
  </si>
  <si>
    <t>oTmESSVF</t>
  </si>
  <si>
    <t>oTmESMF</t>
  </si>
  <si>
    <t>oTmESMA</t>
  </si>
  <si>
    <t>oTmESBF</t>
  </si>
  <si>
    <t>oTmESBA</t>
  </si>
  <si>
    <t>ESPenT</t>
  </si>
  <si>
    <t>ESPenD</t>
  </si>
  <si>
    <t>ESPPD</t>
  </si>
  <si>
    <t>ESPenT/60</t>
  </si>
  <si>
    <t>ESPenD/60</t>
  </si>
  <si>
    <t>ESPPD/60</t>
  </si>
  <si>
    <t>ExpGF</t>
  </si>
  <si>
    <t>ExpGA</t>
  </si>
  <si>
    <t>TmGFOff</t>
  </si>
  <si>
    <t>TmGAOff</t>
  </si>
  <si>
    <t>TmExpGFOff</t>
  </si>
  <si>
    <t>TmExpGAOff</t>
  </si>
  <si>
    <t>ESFOW</t>
  </si>
  <si>
    <t>ESFOL</t>
  </si>
  <si>
    <t>ESFO%</t>
  </si>
  <si>
    <t>ESOffFOT</t>
  </si>
  <si>
    <t>ESOffFOW</t>
  </si>
  <si>
    <t>ESOffFOSF</t>
  </si>
  <si>
    <t>ESOffFOSA</t>
  </si>
  <si>
    <t>ESOffNSPF</t>
  </si>
  <si>
    <t>ESOffFOGF</t>
  </si>
  <si>
    <t>ESOffFOGA</t>
  </si>
  <si>
    <t>ESOffNGPF</t>
  </si>
  <si>
    <t>ESDefFOT</t>
  </si>
  <si>
    <t>ESDefFOW</t>
  </si>
  <si>
    <t>ESDefFOSF</t>
  </si>
  <si>
    <t>ESDefFOSA</t>
  </si>
  <si>
    <t>ESDefNSPF</t>
  </si>
  <si>
    <t>ESDefFOGF</t>
  </si>
  <si>
    <t>ESDefFOGA</t>
  </si>
  <si>
    <t>ESDefNGPF</t>
  </si>
  <si>
    <t>Mark</t>
  </si>
  <si>
    <t>Stone</t>
  </si>
  <si>
    <t>MARKSTONE</t>
  </si>
  <si>
    <t>OTT</t>
  </si>
  <si>
    <t>RW</t>
  </si>
  <si>
    <t>Johnny</t>
  </si>
  <si>
    <t>Gaudreau</t>
  </si>
  <si>
    <t>JOHNGAUDREAU</t>
  </si>
  <si>
    <t>CGY</t>
  </si>
  <si>
    <t>LW</t>
  </si>
  <si>
    <t>Filip</t>
  </si>
  <si>
    <t>Forsberg</t>
  </si>
  <si>
    <t>FILIPFORSBERG</t>
  </si>
  <si>
    <t>NSH</t>
  </si>
  <si>
    <t>C/RW</t>
  </si>
  <si>
    <t>Mike</t>
  </si>
  <si>
    <t>Hoffman</t>
  </si>
  <si>
    <t>MIKEHOFFMAN</t>
  </si>
  <si>
    <t>LW/C</t>
  </si>
  <si>
    <t>Kevin</t>
  </si>
  <si>
    <t>Hayes</t>
  </si>
  <si>
    <t>KEVINHAYES</t>
  </si>
  <si>
    <t>NYR</t>
  </si>
  <si>
    <t>Anders</t>
  </si>
  <si>
    <t>Lee</t>
  </si>
  <si>
    <t>ANDERSLEE</t>
  </si>
  <si>
    <t>NYI</t>
  </si>
  <si>
    <t>C</t>
  </si>
  <si>
    <t>John</t>
  </si>
  <si>
    <t>Klingberg</t>
  </si>
  <si>
    <t>JOHNKLINGBERG</t>
  </si>
  <si>
    <t>DAL</t>
  </si>
  <si>
    <t>D</t>
  </si>
  <si>
    <t xml:space="preserve"> </t>
  </si>
  <si>
    <t>Aaron</t>
  </si>
  <si>
    <t>Ekblad</t>
  </si>
  <si>
    <t>AARONEKBLAD</t>
  </si>
  <si>
    <t>FLA</t>
  </si>
  <si>
    <t>Evgeny</t>
  </si>
  <si>
    <t>Kuznetsov</t>
  </si>
  <si>
    <t>EVGENYKUZNETSOV</t>
  </si>
  <si>
    <t>WSH</t>
  </si>
  <si>
    <t>Victor</t>
  </si>
  <si>
    <t>Rask</t>
  </si>
  <si>
    <t>VICTORRASK</t>
  </si>
  <si>
    <t>CAR</t>
  </si>
  <si>
    <t>Jonathan</t>
  </si>
  <si>
    <t>Drouin</t>
  </si>
  <si>
    <t>JONATHANDROUIN</t>
  </si>
  <si>
    <t>TBL</t>
  </si>
  <si>
    <t>Rickard</t>
  </si>
  <si>
    <t>Rakell</t>
  </si>
  <si>
    <t>RICKARDRAKELL</t>
  </si>
  <si>
    <t>ANA</t>
  </si>
  <si>
    <t>David</t>
  </si>
  <si>
    <t>Pastrnak</t>
  </si>
  <si>
    <t>DAVIDPASTRNAK</t>
  </si>
  <si>
    <t>BOS</t>
  </si>
  <si>
    <t>Bo</t>
  </si>
  <si>
    <t>Horvat</t>
  </si>
  <si>
    <t>BOHORVAT</t>
  </si>
  <si>
    <t>VAN</t>
  </si>
  <si>
    <t>Melker</t>
  </si>
  <si>
    <t>Karlsson</t>
  </si>
  <si>
    <t>MELKERKARLSSON</t>
  </si>
  <si>
    <t>SJS</t>
  </si>
  <si>
    <t>Josh</t>
  </si>
  <si>
    <t>Jooris</t>
  </si>
  <si>
    <t>JOSHJOORIS</t>
  </si>
  <si>
    <t>Linden</t>
  </si>
  <si>
    <t>Vey</t>
  </si>
  <si>
    <t>LINDENVEY</t>
  </si>
  <si>
    <t>Adam</t>
  </si>
  <si>
    <t>Lowry</t>
  </si>
  <si>
    <t>ADAMLOWRY</t>
  </si>
  <si>
    <t>WPG</t>
  </si>
  <si>
    <t>Jiri</t>
  </si>
  <si>
    <t>Sekac</t>
  </si>
  <si>
    <t>JIRISEKAC</t>
  </si>
  <si>
    <t>Andre</t>
  </si>
  <si>
    <t>Burakovsky</t>
  </si>
  <si>
    <t>ANDREBURAKOVSKY</t>
  </si>
  <si>
    <t>Vincent</t>
  </si>
  <si>
    <t>Trocheck</t>
  </si>
  <si>
    <t>VINCENTTROCHECK</t>
  </si>
  <si>
    <t>Tobias</t>
  </si>
  <si>
    <t>Rieder</t>
  </si>
  <si>
    <t>TOBIASRIEDER</t>
  </si>
  <si>
    <t>ARI</t>
  </si>
  <si>
    <t>RW/C</t>
  </si>
  <si>
    <t>Marko</t>
  </si>
  <si>
    <t>Dano</t>
  </si>
  <si>
    <t>MARKODANO</t>
  </si>
  <si>
    <t>CBJ</t>
  </si>
  <si>
    <t>Chris</t>
  </si>
  <si>
    <t>Tierney</t>
  </si>
  <si>
    <t>CHRISTIERNEY</t>
  </si>
  <si>
    <t>Terry</t>
  </si>
  <si>
    <t>CHRISTERRY</t>
  </si>
  <si>
    <t>Andrej</t>
  </si>
  <si>
    <t>Nestrasil</t>
  </si>
  <si>
    <t>ANDREJNESTRASIL</t>
  </si>
  <si>
    <t>Alexander</t>
  </si>
  <si>
    <t>Wennberg</t>
  </si>
  <si>
    <t>ALEXANDERWENNBERG</t>
  </si>
  <si>
    <t>Oscar</t>
  </si>
  <si>
    <t>Klefbom</t>
  </si>
  <si>
    <t>OSCARKLEFBOM</t>
  </si>
  <si>
    <t>EDM</t>
  </si>
  <si>
    <t>Cedric</t>
  </si>
  <si>
    <t>Paquette</t>
  </si>
  <si>
    <t>CEDRICPAQUETTE</t>
  </si>
  <si>
    <t>Dmitrij</t>
  </si>
  <si>
    <t>Jaskin</t>
  </si>
  <si>
    <t>DMITRIJASKIN</t>
  </si>
  <si>
    <t>STL</t>
  </si>
  <si>
    <t>Markus</t>
  </si>
  <si>
    <t>Granlund</t>
  </si>
  <si>
    <t>MARKUSGRANLUND</t>
  </si>
  <si>
    <t>Ryan</t>
  </si>
  <si>
    <t>Spooner</t>
  </si>
  <si>
    <t>RYANSPOONER</t>
  </si>
  <si>
    <t>Calle</t>
  </si>
  <si>
    <t>Jarnkrok</t>
  </si>
  <si>
    <t>CALLEJARNKROK</t>
  </si>
  <si>
    <t>Damon</t>
  </si>
  <si>
    <t>Severson</t>
  </si>
  <si>
    <t>DAMONSEVERSON</t>
  </si>
  <si>
    <t>NJD</t>
  </si>
  <si>
    <t>Tanner</t>
  </si>
  <si>
    <t>Pearson</t>
  </si>
  <si>
    <t>TANNERPEARSON</t>
  </si>
  <si>
    <t>LAK</t>
  </si>
  <si>
    <t>Vladislav</t>
  </si>
  <si>
    <t>Namestnikov</t>
  </si>
  <si>
    <t>VLADISLAVNAMESTNIKOV</t>
  </si>
  <si>
    <t>Matt</t>
  </si>
  <si>
    <t>Dumba</t>
  </si>
  <si>
    <t>MATHEWDUMBA</t>
  </si>
  <si>
    <t>MIN</t>
  </si>
  <si>
    <t>Curtis</t>
  </si>
  <si>
    <t>Lazar</t>
  </si>
  <si>
    <t>CURTISLAZAR</t>
  </si>
  <si>
    <t>Nicolas</t>
  </si>
  <si>
    <t>Deslauriers</t>
  </si>
  <si>
    <t>NICOLASDESLAURIERS</t>
  </si>
  <si>
    <t>BUF</t>
  </si>
  <si>
    <t>Nikita</t>
  </si>
  <si>
    <t>Zadorov</t>
  </si>
  <si>
    <t>NIKITAZADOROV</t>
  </si>
  <si>
    <t>Jesper</t>
  </si>
  <si>
    <t>Fast</t>
  </si>
  <si>
    <t>JESPERFAST</t>
  </si>
  <si>
    <t>Barclay</t>
  </si>
  <si>
    <t>Goodrow</t>
  </si>
  <si>
    <t>BARCLAYGOODROW</t>
  </si>
  <si>
    <t>Ronalds</t>
  </si>
  <si>
    <t>Kenins</t>
  </si>
  <si>
    <t>RONALDKENINS</t>
  </si>
  <si>
    <t>Andreoff</t>
  </si>
  <si>
    <t>Andrighetto</t>
  </si>
  <si>
    <t>Carrick</t>
  </si>
  <si>
    <t>Chaput</t>
  </si>
  <si>
    <t>Chiarot</t>
  </si>
  <si>
    <t>Clendening</t>
  </si>
  <si>
    <t>Craig</t>
  </si>
  <si>
    <t>Cunningham</t>
  </si>
  <si>
    <t>Dahlbeck</t>
  </si>
  <si>
    <t>De La Rose</t>
  </si>
  <si>
    <t>Draisaitl</t>
  </si>
  <si>
    <t>Duclair</t>
  </si>
  <si>
    <t>Everberg</t>
  </si>
  <si>
    <t>Ferland</t>
  </si>
  <si>
    <t>Folin</t>
  </si>
  <si>
    <t>Goloubef</t>
  </si>
  <si>
    <t>Gormley</t>
  </si>
  <si>
    <t>Griffith</t>
  </si>
  <si>
    <t>Helgeson</t>
  </si>
  <si>
    <t>Hishon</t>
  </si>
  <si>
    <t>Jokipakka</t>
  </si>
  <si>
    <t>Jordan</t>
  </si>
  <si>
    <t>Kozun</t>
  </si>
  <si>
    <t>Latta</t>
  </si>
  <si>
    <t>Laughton</t>
  </si>
  <si>
    <t>Lessio</t>
  </si>
  <si>
    <t>Lindbohm</t>
  </si>
  <si>
    <t>MacWilliam</t>
  </si>
  <si>
    <t>Manning</t>
  </si>
  <si>
    <t>Manson</t>
  </si>
  <si>
    <t>Marchenko</t>
  </si>
  <si>
    <t>McKenzie</t>
  </si>
  <si>
    <t>Miller</t>
  </si>
  <si>
    <t>Mueller</t>
  </si>
  <si>
    <t>Musil</t>
  </si>
  <si>
    <t>Nemeth</t>
  </si>
  <si>
    <t>Nesterov</t>
  </si>
  <si>
    <t>Nordstrom</t>
  </si>
  <si>
    <t>O'Brien</t>
  </si>
  <si>
    <t>Ouellet</t>
  </si>
  <si>
    <t>Pakarinen</t>
  </si>
  <si>
    <t>Percy</t>
  </si>
  <si>
    <t>Pitlick</t>
  </si>
  <si>
    <t>Pouliot</t>
  </si>
  <si>
    <t>Puempel</t>
  </si>
  <si>
    <t>Pulkkinen</t>
  </si>
  <si>
    <t>Rendulic</t>
  </si>
  <si>
    <t>Ritchie</t>
  </si>
  <si>
    <t>Rust</t>
  </si>
  <si>
    <t>Rychel</t>
  </si>
  <si>
    <t>Schaller</t>
  </si>
  <si>
    <t>Scott</t>
  </si>
  <si>
    <t>Shore</t>
  </si>
  <si>
    <t>Straka</t>
  </si>
  <si>
    <t>Stuart</t>
  </si>
  <si>
    <t>Tennyson</t>
  </si>
  <si>
    <t>Teravainen</t>
  </si>
  <si>
    <t>Trotman</t>
  </si>
  <si>
    <t>Varone</t>
  </si>
  <si>
    <t>Dennis</t>
  </si>
  <si>
    <t>DENNISEVERBERG</t>
  </si>
  <si>
    <t>COL</t>
  </si>
  <si>
    <t>Seth</t>
  </si>
  <si>
    <t>SETHGRIFFITH</t>
  </si>
  <si>
    <t>Christian</t>
  </si>
  <si>
    <t>CHRISTIANFOLIN</t>
  </si>
  <si>
    <t>Jyrki</t>
  </si>
  <si>
    <t>JYRKIJOKIPAKKA</t>
  </si>
  <si>
    <t>Brett</t>
  </si>
  <si>
    <t>BRETTRITCHIE</t>
  </si>
  <si>
    <t>Teuvo</t>
  </si>
  <si>
    <t>TEUVOTERAVAINEN</t>
  </si>
  <si>
    <t>CHI</t>
  </si>
  <si>
    <t>C/LW</t>
  </si>
  <si>
    <t>Leon</t>
  </si>
  <si>
    <t>LEONDRAISAITL</t>
  </si>
  <si>
    <t>Cody</t>
  </si>
  <si>
    <t>CODYGOLOUBEF</t>
  </si>
  <si>
    <t>Teemu</t>
  </si>
  <si>
    <t>TEEMUPULKKINEN</t>
  </si>
  <si>
    <t>DET</t>
  </si>
  <si>
    <t>Ben</t>
  </si>
  <si>
    <t>BENCHIAROT</t>
  </si>
  <si>
    <t>MATTTENNYSON</t>
  </si>
  <si>
    <t>CRAIGCUNNINGHAM</t>
  </si>
  <si>
    <t>LW/RW</t>
  </si>
  <si>
    <t>Derrick</t>
  </si>
  <si>
    <t>DERRICKPOULIOT</t>
  </si>
  <si>
    <t>PIT</t>
  </si>
  <si>
    <t>NIKITANESTEROV</t>
  </si>
  <si>
    <t>Anthony</t>
  </si>
  <si>
    <t>ANTHONYDUCLAIR</t>
  </si>
  <si>
    <t>Nick</t>
  </si>
  <si>
    <t>NICKSHORE</t>
  </si>
  <si>
    <t>Jacob</t>
  </si>
  <si>
    <t>JACOBDELAROSE</t>
  </si>
  <si>
    <t>MTL</t>
  </si>
  <si>
    <t>Michal</t>
  </si>
  <si>
    <t>MICHALJORDAN</t>
  </si>
  <si>
    <t>SCOTTLAUGHTON</t>
  </si>
  <si>
    <t>PHI</t>
  </si>
  <si>
    <t>Andrew</t>
  </si>
  <si>
    <t>ANDREW_MILLER</t>
  </si>
  <si>
    <t>Michael</t>
  </si>
  <si>
    <t>MICHAELLATTA</t>
  </si>
  <si>
    <t>CURTISMCKENZIE</t>
  </si>
  <si>
    <t>William</t>
  </si>
  <si>
    <t>WILLIAMKARLSSON</t>
  </si>
  <si>
    <t>Philip</t>
  </si>
  <si>
    <t>PHILIPVARONE</t>
  </si>
  <si>
    <t>MICHAELFERLAND</t>
  </si>
  <si>
    <t>Lucas</t>
  </si>
  <si>
    <t>LUCASLESSIO</t>
  </si>
  <si>
    <t>Zach</t>
  </si>
  <si>
    <t>ZACHTROTMAN</t>
  </si>
  <si>
    <t>MICHAELCHAPUT</t>
  </si>
  <si>
    <t>Brandon</t>
  </si>
  <si>
    <t>BRANDONKOZUN</t>
  </si>
  <si>
    <t>TOR</t>
  </si>
  <si>
    <t>BRANDONGORMLEY</t>
  </si>
  <si>
    <t>ADAMCLENDENING</t>
  </si>
  <si>
    <t>Mirco</t>
  </si>
  <si>
    <t>MIRCOMUELLER</t>
  </si>
  <si>
    <t>Klas</t>
  </si>
  <si>
    <t>KLASDAHLBECK</t>
  </si>
  <si>
    <t>Xavier</t>
  </si>
  <si>
    <t>XAVIEROUELLET</t>
  </si>
  <si>
    <t>Petteri</t>
  </si>
  <si>
    <t>PETTERILINDBOHM</t>
  </si>
  <si>
    <t>Andy</t>
  </si>
  <si>
    <t>ANDYANDREOFF</t>
  </si>
  <si>
    <t>Sven</t>
  </si>
  <si>
    <t>SVENANDRIGHETTO</t>
  </si>
  <si>
    <t>MATTPUEMPEL</t>
  </si>
  <si>
    <t>Iiro</t>
  </si>
  <si>
    <t>IIROPAKARINEN</t>
  </si>
  <si>
    <t>Patrik</t>
  </si>
  <si>
    <t>PATRIKNEMETH</t>
  </si>
  <si>
    <t>Joakim</t>
  </si>
  <si>
    <t>JOAKIMNORDSTROM</t>
  </si>
  <si>
    <t>BRANDONMANNING</t>
  </si>
  <si>
    <t>STUARTPERCY</t>
  </si>
  <si>
    <t>Kerby</t>
  </si>
  <si>
    <t>KERBYRYCHEL</t>
  </si>
  <si>
    <t>JOSHMANSON</t>
  </si>
  <si>
    <t>Tyler</t>
  </si>
  <si>
    <t>TYLERPITLICK</t>
  </si>
  <si>
    <t>Liam</t>
  </si>
  <si>
    <t>LIAMO'BRIEN</t>
  </si>
  <si>
    <t>Joey</t>
  </si>
  <si>
    <t>JOEYHISHON</t>
  </si>
  <si>
    <t>Sam</t>
  </si>
  <si>
    <t>SAMCARRICK</t>
  </si>
  <si>
    <t>Alexey</t>
  </si>
  <si>
    <t>ALEXEYMARCHENKO</t>
  </si>
  <si>
    <t>Tim</t>
  </si>
  <si>
    <t>TIMSCHALLER</t>
  </si>
  <si>
    <t>Borna</t>
  </si>
  <si>
    <t>BORNARENDULIC</t>
  </si>
  <si>
    <t>Bryan</t>
  </si>
  <si>
    <t>BRYANRUST</t>
  </si>
  <si>
    <t>Petr</t>
  </si>
  <si>
    <t>PETRSTRAKA</t>
  </si>
  <si>
    <t>ANDREWMACWILLIAM</t>
  </si>
  <si>
    <t>DAVIDMUSIL</t>
  </si>
  <si>
    <t>SETHHELGESON</t>
  </si>
  <si>
    <t>NHL PPG</t>
  </si>
  <si>
    <t>Last Year League</t>
  </si>
  <si>
    <t>Last Year PPG</t>
  </si>
  <si>
    <t>AHL</t>
  </si>
  <si>
    <t>NCAA</t>
  </si>
  <si>
    <t>SweHL</t>
  </si>
  <si>
    <t>OHL</t>
  </si>
  <si>
    <t>KHL</t>
  </si>
  <si>
    <t>QMJHL</t>
  </si>
  <si>
    <t>WHL</t>
  </si>
  <si>
    <t>Swiss-A</t>
  </si>
  <si>
    <t>SM-Liiga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</si>
</sst>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#.0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b/>
      <sz val="8"/>
      <color indexed="8"/>
      <name val="Arial"/>
      <family val="2"/>
      <charset val="1"/>
    </font>
    <font>
      <b/>
      <sz val="8"/>
      <name val="Arial"/>
      <family val="2"/>
      <charset val="1"/>
    </font>
    <font>
      <sz val="10"/>
      <color indexed="8"/>
      <name val="Arial"/>
      <family val="2"/>
      <charset val="1"/>
    </font>
    <font>
      <sz val="10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974">
    <xf numFmtId="0" fontId="0" fillId="0" borderId="0" xfId="0"/>
    <xf numFmtId="0" fontId="3" fillId="0" borderId="0" xfId="1" applyFont="1" applyFill="1" applyAlignment="1">
      <alignment horizontal="center" textRotation="66"/>
    </xf>
    <xf numFmtId="1" fontId="3" fillId="0" borderId="0" xfId="1" applyNumberFormat="1" applyFont="1" applyFill="1" applyAlignment="1">
      <alignment horizontal="center" textRotation="66"/>
    </xf>
    <xf numFmtId="0" fontId="4" fillId="0" borderId="0" xfId="1" applyFont="1" applyAlignment="1">
      <alignment horizontal="center" textRotation="66"/>
    </xf>
    <xf numFmtId="164" fontId="3" fillId="0" borderId="0" xfId="1" applyNumberFormat="1" applyFont="1" applyFill="1" applyAlignment="1">
      <alignment horizontal="center" textRotation="66"/>
    </xf>
    <xf numFmtId="164" fontId="4" fillId="0" borderId="0" xfId="1" applyNumberFormat="1" applyFont="1" applyAlignment="1">
      <alignment horizontal="center" textRotation="66"/>
    </xf>
    <xf numFmtId="2" fontId="4" fillId="0" borderId="0" xfId="1" applyNumberFormat="1" applyFont="1" applyAlignment="1">
      <alignment horizontal="center" textRotation="66"/>
    </xf>
    <xf numFmtId="2" fontId="3" fillId="0" borderId="0" xfId="1" applyNumberFormat="1" applyFont="1" applyFill="1" applyAlignment="1">
      <alignment horizontal="center" textRotation="66"/>
    </xf>
    <xf numFmtId="1" fontId="4" fillId="0" borderId="0" xfId="1" applyNumberFormat="1" applyFont="1" applyAlignment="1">
      <alignment horizontal="center" textRotation="66"/>
    </xf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0" borderId="0" xfId="1"/>
    <xf numFmtId="0" fontId="2" fillId="0" borderId="0" xfId="1" applyFont="1"/>
    <xf numFmtId="164" fontId="1" fillId="0" borderId="0" xfId="1" applyNumberFormat="1"/>
    <xf numFmtId="0" fontId="2" fillId="0" borderId="0" xfId="1" applyFont="1" applyAlignment="1">
      <alignment wrapText="1"/>
    </xf>
    <xf numFmtId="165" fontId="5" fillId="0" borderId="0" xfId="1" applyNumberFormat="1" applyFont="1" applyFill="1" applyAlignment="1">
      <alignment horizontal="right"/>
    </xf>
    <xf numFmtId="164" fontId="2" fillId="0" borderId="0" xfId="1" applyNumberFormat="1" applyFont="1"/>
    <xf numFmtId="2" fontId="5" fillId="0" borderId="0" xfId="1" applyNumberFormat="1" applyFont="1" applyFill="1" applyAlignment="1">
      <alignment horizontal="right"/>
    </xf>
    <xf numFmtId="1" fontId="5" fillId="0" borderId="0" xfId="1" applyNumberFormat="1" applyFont="1" applyFill="1" applyAlignment="1">
      <alignment horizontal="right"/>
    </xf>
    <xf numFmtId="165" fontId="2" fillId="0" borderId="0" xfId="1" applyNumberFormat="1" applyFont="1"/>
    <xf numFmtId="2" fontId="2" fillId="0" borderId="0" xfId="1" applyNumberFormat="1" applyFont="1"/>
    <xf numFmtId="164" fontId="2" fillId="0" borderId="0" xfId="1" applyNumberFormat="1" applyFont="1" applyAlignment="1">
      <alignment wrapText="1"/>
    </xf>
    <xf numFmtId="0" fontId="6" fillId="0" borderId="0" xfId="1" applyFont="1" applyAlignment="1">
      <alignment wrapText="1"/>
    </xf>
    <xf numFmtId="0" fontId="5" fillId="0" borderId="0" xfId="1" applyFont="1" applyFill="1" applyAlignment="1">
      <alignment horizontal="right"/>
    </xf>
    <xf numFmtId="0" fontId="5" fillId="0" borderId="0" xfId="1" applyFont="1" applyAlignment="1">
      <alignment wrapText="1"/>
    </xf>
    <xf numFmtId="1" fontId="2" fillId="0" borderId="0" xfId="1" applyNumberFormat="1" applyFont="1"/>
    <xf numFmtId="2" fontId="5" fillId="0" borderId="0" xfId="1" applyNumberFormat="1" applyFont="1" applyAlignment="1">
      <alignment wrapText="1"/>
    </xf>
    <xf numFmtId="166" fontId="2" fillId="0" borderId="0" xfId="1" applyNumberFormat="1" applyFont="1"/>
    <xf numFmtId="164" fontId="5" fillId="0" borderId="0" xfId="1" applyNumberFormat="1" applyFont="1" applyFill="1"/>
    <xf numFmtId="1" fontId="2" fillId="0" borderId="0" xfId="1" applyNumberFormat="1" applyFont="1" applyAlignment="1">
      <alignment wrapText="1"/>
    </xf>
    <xf numFmtId="0" fontId="1" fillId="0" borderId="0" xfId="1"/>
    <xf numFmtId="0" fontId="2" fillId="0" borderId="0" xfId="1" applyFont="1"/>
    <xf numFmtId="164" fontId="1" fillId="0" borderId="0" xfId="1" applyNumberFormat="1"/>
    <xf numFmtId="0" fontId="2" fillId="0" borderId="0" xfId="1" applyFont="1" applyAlignment="1">
      <alignment wrapText="1"/>
    </xf>
    <xf numFmtId="165" fontId="5" fillId="0" borderId="0" xfId="1" applyNumberFormat="1" applyFont="1" applyFill="1" applyAlignment="1">
      <alignment horizontal="right"/>
    </xf>
    <xf numFmtId="164" fontId="2" fillId="0" borderId="0" xfId="1" applyNumberFormat="1" applyFont="1"/>
    <xf numFmtId="2" fontId="5" fillId="0" borderId="0" xfId="1" applyNumberFormat="1" applyFont="1" applyFill="1" applyAlignment="1">
      <alignment horizontal="right"/>
    </xf>
    <xf numFmtId="1" fontId="5" fillId="0" borderId="0" xfId="1" applyNumberFormat="1" applyFont="1" applyFill="1" applyAlignment="1">
      <alignment horizontal="right"/>
    </xf>
    <xf numFmtId="165" fontId="2" fillId="0" borderId="0" xfId="1" applyNumberFormat="1" applyFont="1"/>
    <xf numFmtId="2" fontId="2" fillId="0" borderId="0" xfId="1" applyNumberFormat="1" applyFont="1"/>
    <xf numFmtId="164" fontId="2" fillId="0" borderId="0" xfId="1" applyNumberFormat="1" applyFont="1" applyAlignment="1">
      <alignment wrapText="1"/>
    </xf>
    <xf numFmtId="0" fontId="6" fillId="0" borderId="0" xfId="1" applyFont="1" applyAlignment="1">
      <alignment wrapText="1"/>
    </xf>
    <xf numFmtId="0" fontId="5" fillId="0" borderId="0" xfId="1" applyFont="1" applyFill="1" applyAlignment="1">
      <alignment horizontal="right"/>
    </xf>
    <xf numFmtId="0" fontId="5" fillId="0" borderId="0" xfId="1" applyFont="1" applyAlignment="1">
      <alignment wrapText="1"/>
    </xf>
    <xf numFmtId="1" fontId="2" fillId="0" borderId="0" xfId="1" applyNumberFormat="1" applyFont="1"/>
    <xf numFmtId="2" fontId="5" fillId="0" borderId="0" xfId="1" applyNumberFormat="1" applyFont="1" applyAlignment="1">
      <alignment wrapText="1"/>
    </xf>
    <xf numFmtId="166" fontId="2" fillId="0" borderId="0" xfId="1" applyNumberFormat="1" applyFont="1"/>
    <xf numFmtId="164" fontId="5" fillId="0" borderId="0" xfId="1" applyNumberFormat="1" applyFont="1" applyFill="1"/>
    <xf numFmtId="0" fontId="1" fillId="0" borderId="0" xfId="1"/>
    <xf numFmtId="0" fontId="2" fillId="0" borderId="0" xfId="1" applyFont="1"/>
    <xf numFmtId="164" fontId="1" fillId="0" borderId="0" xfId="1" applyNumberFormat="1"/>
    <xf numFmtId="0" fontId="2" fillId="0" borderId="0" xfId="1" applyFont="1" applyAlignment="1">
      <alignment wrapText="1"/>
    </xf>
    <xf numFmtId="165" fontId="5" fillId="0" borderId="0" xfId="1" applyNumberFormat="1" applyFont="1" applyFill="1" applyAlignment="1">
      <alignment horizontal="right"/>
    </xf>
    <xf numFmtId="164" fontId="2" fillId="0" borderId="0" xfId="1" applyNumberFormat="1" applyFont="1"/>
    <xf numFmtId="2" fontId="5" fillId="0" borderId="0" xfId="1" applyNumberFormat="1" applyFont="1" applyFill="1" applyAlignment="1">
      <alignment horizontal="right"/>
    </xf>
    <xf numFmtId="1" fontId="5" fillId="0" borderId="0" xfId="1" applyNumberFormat="1" applyFont="1" applyFill="1" applyAlignment="1">
      <alignment horizontal="right"/>
    </xf>
    <xf numFmtId="165" fontId="2" fillId="0" borderId="0" xfId="1" applyNumberFormat="1" applyFont="1"/>
    <xf numFmtId="2" fontId="2" fillId="0" borderId="0" xfId="1" applyNumberFormat="1" applyFont="1"/>
    <xf numFmtId="164" fontId="2" fillId="0" borderId="0" xfId="1" applyNumberFormat="1" applyFont="1" applyAlignment="1">
      <alignment wrapText="1"/>
    </xf>
    <xf numFmtId="0" fontId="6" fillId="0" borderId="0" xfId="1" applyFont="1" applyAlignment="1">
      <alignment wrapText="1"/>
    </xf>
    <xf numFmtId="0" fontId="5" fillId="0" borderId="0" xfId="1" applyFont="1" applyFill="1" applyAlignment="1">
      <alignment horizontal="right"/>
    </xf>
    <xf numFmtId="0" fontId="5" fillId="0" borderId="0" xfId="1" applyFont="1" applyAlignment="1">
      <alignment wrapText="1"/>
    </xf>
    <xf numFmtId="1" fontId="2" fillId="0" borderId="0" xfId="1" applyNumberFormat="1" applyFont="1"/>
    <xf numFmtId="2" fontId="5" fillId="0" borderId="0" xfId="1" applyNumberFormat="1" applyFont="1" applyAlignment="1">
      <alignment wrapText="1"/>
    </xf>
    <xf numFmtId="166" fontId="2" fillId="0" borderId="0" xfId="1" applyNumberFormat="1" applyFont="1"/>
    <xf numFmtId="164" fontId="5" fillId="0" borderId="0" xfId="1" applyNumberFormat="1" applyFont="1" applyFill="1"/>
    <xf numFmtId="0" fontId="1" fillId="0" borderId="0" xfId="1"/>
    <xf numFmtId="0" fontId="2" fillId="0" borderId="0" xfId="1" applyFont="1"/>
    <xf numFmtId="164" fontId="1" fillId="0" borderId="0" xfId="1" applyNumberFormat="1"/>
    <xf numFmtId="0" fontId="2" fillId="0" borderId="0" xfId="1" applyFont="1" applyAlignment="1">
      <alignment wrapText="1"/>
    </xf>
    <xf numFmtId="165" fontId="5" fillId="0" borderId="0" xfId="1" applyNumberFormat="1" applyFont="1" applyFill="1" applyAlignment="1">
      <alignment horizontal="right"/>
    </xf>
    <xf numFmtId="164" fontId="2" fillId="0" borderId="0" xfId="1" applyNumberFormat="1" applyFont="1"/>
    <xf numFmtId="2" fontId="5" fillId="0" borderId="0" xfId="1" applyNumberFormat="1" applyFont="1" applyFill="1" applyAlignment="1">
      <alignment horizontal="right"/>
    </xf>
    <xf numFmtId="1" fontId="5" fillId="0" borderId="0" xfId="1" applyNumberFormat="1" applyFont="1" applyFill="1" applyAlignment="1">
      <alignment horizontal="right"/>
    </xf>
    <xf numFmtId="165" fontId="2" fillId="0" borderId="0" xfId="1" applyNumberFormat="1" applyFont="1"/>
    <xf numFmtId="2" fontId="2" fillId="0" borderId="0" xfId="1" applyNumberFormat="1" applyFont="1"/>
    <xf numFmtId="164" fontId="2" fillId="0" borderId="0" xfId="1" applyNumberFormat="1" applyFont="1" applyAlignment="1">
      <alignment wrapText="1"/>
    </xf>
    <xf numFmtId="0" fontId="6" fillId="0" borderId="0" xfId="1" applyFont="1" applyAlignment="1">
      <alignment wrapText="1"/>
    </xf>
    <xf numFmtId="0" fontId="5" fillId="0" borderId="0" xfId="1" applyFont="1" applyFill="1" applyAlignment="1">
      <alignment horizontal="right"/>
    </xf>
    <xf numFmtId="0" fontId="5" fillId="0" borderId="0" xfId="1" applyFont="1" applyAlignment="1">
      <alignment wrapText="1"/>
    </xf>
    <xf numFmtId="1" fontId="2" fillId="0" borderId="0" xfId="1" applyNumberFormat="1" applyFont="1"/>
    <xf numFmtId="2" fontId="5" fillId="0" borderId="0" xfId="1" applyNumberFormat="1" applyFont="1" applyAlignment="1">
      <alignment wrapText="1"/>
    </xf>
    <xf numFmtId="166" fontId="2" fillId="0" borderId="0" xfId="1" applyNumberFormat="1" applyFont="1"/>
    <xf numFmtId="164" fontId="5" fillId="0" borderId="0" xfId="1" applyNumberFormat="1" applyFont="1" applyFill="1"/>
    <xf numFmtId="1" fontId="2" fillId="0" borderId="0" xfId="1" applyNumberFormat="1" applyFont="1" applyAlignment="1">
      <alignment wrapText="1"/>
    </xf>
    <xf numFmtId="0" fontId="1" fillId="0" borderId="0" xfId="1"/>
    <xf numFmtId="0" fontId="2" fillId="0" borderId="0" xfId="1" applyFont="1"/>
    <xf numFmtId="164" fontId="1" fillId="0" borderId="0" xfId="1" applyNumberFormat="1"/>
    <xf numFmtId="0" fontId="2" fillId="0" borderId="0" xfId="1" applyFont="1" applyAlignment="1">
      <alignment wrapText="1"/>
    </xf>
    <xf numFmtId="165" fontId="5" fillId="0" borderId="0" xfId="1" applyNumberFormat="1" applyFont="1" applyFill="1" applyAlignment="1">
      <alignment horizontal="right"/>
    </xf>
    <xf numFmtId="164" fontId="2" fillId="0" borderId="0" xfId="1" applyNumberFormat="1" applyFont="1"/>
    <xf numFmtId="2" fontId="5" fillId="0" borderId="0" xfId="1" applyNumberFormat="1" applyFont="1" applyFill="1" applyAlignment="1">
      <alignment horizontal="right"/>
    </xf>
    <xf numFmtId="1" fontId="5" fillId="0" borderId="0" xfId="1" applyNumberFormat="1" applyFont="1" applyFill="1" applyAlignment="1">
      <alignment horizontal="right"/>
    </xf>
    <xf numFmtId="165" fontId="2" fillId="0" borderId="0" xfId="1" applyNumberFormat="1" applyFont="1"/>
    <xf numFmtId="2" fontId="2" fillId="0" borderId="0" xfId="1" applyNumberFormat="1" applyFont="1"/>
    <xf numFmtId="164" fontId="2" fillId="0" borderId="0" xfId="1" applyNumberFormat="1" applyFont="1" applyAlignment="1">
      <alignment wrapText="1"/>
    </xf>
    <xf numFmtId="0" fontId="6" fillId="0" borderId="0" xfId="1" applyFont="1" applyAlignment="1">
      <alignment wrapText="1"/>
    </xf>
    <xf numFmtId="0" fontId="5" fillId="0" borderId="0" xfId="1" applyFont="1" applyFill="1" applyAlignment="1">
      <alignment horizontal="right"/>
    </xf>
    <xf numFmtId="0" fontId="5" fillId="0" borderId="0" xfId="1" applyFont="1" applyAlignment="1">
      <alignment wrapText="1"/>
    </xf>
    <xf numFmtId="1" fontId="2" fillId="0" borderId="0" xfId="1" applyNumberFormat="1" applyFont="1"/>
    <xf numFmtId="2" fontId="5" fillId="0" borderId="0" xfId="1" applyNumberFormat="1" applyFont="1" applyAlignment="1">
      <alignment wrapText="1"/>
    </xf>
    <xf numFmtId="166" fontId="2" fillId="0" borderId="0" xfId="1" applyNumberFormat="1" applyFont="1"/>
    <xf numFmtId="164" fontId="5" fillId="0" borderId="0" xfId="1" applyNumberFormat="1" applyFont="1" applyFill="1"/>
    <xf numFmtId="1" fontId="2" fillId="0" borderId="0" xfId="1" applyNumberFormat="1" applyFont="1" applyAlignment="1">
      <alignment wrapText="1"/>
    </xf>
    <xf numFmtId="0" fontId="1" fillId="0" borderId="0" xfId="1"/>
    <xf numFmtId="0" fontId="2" fillId="0" borderId="0" xfId="1" applyFont="1"/>
    <xf numFmtId="164" fontId="1" fillId="0" borderId="0" xfId="1" applyNumberFormat="1"/>
    <xf numFmtId="0" fontId="2" fillId="0" borderId="0" xfId="1" applyFont="1" applyAlignment="1">
      <alignment wrapText="1"/>
    </xf>
    <xf numFmtId="165" fontId="5" fillId="0" borderId="0" xfId="1" applyNumberFormat="1" applyFont="1" applyFill="1" applyAlignment="1">
      <alignment horizontal="right"/>
    </xf>
    <xf numFmtId="164" fontId="2" fillId="0" borderId="0" xfId="1" applyNumberFormat="1" applyFont="1"/>
    <xf numFmtId="2" fontId="5" fillId="0" borderId="0" xfId="1" applyNumberFormat="1" applyFont="1" applyFill="1" applyAlignment="1">
      <alignment horizontal="right"/>
    </xf>
    <xf numFmtId="1" fontId="5" fillId="0" borderId="0" xfId="1" applyNumberFormat="1" applyFont="1" applyFill="1" applyAlignment="1">
      <alignment horizontal="right"/>
    </xf>
    <xf numFmtId="165" fontId="2" fillId="0" borderId="0" xfId="1" applyNumberFormat="1" applyFont="1"/>
    <xf numFmtId="2" fontId="2" fillId="0" borderId="0" xfId="1" applyNumberFormat="1" applyFont="1"/>
    <xf numFmtId="164" fontId="2" fillId="0" borderId="0" xfId="1" applyNumberFormat="1" applyFont="1" applyAlignment="1">
      <alignment wrapText="1"/>
    </xf>
    <xf numFmtId="0" fontId="6" fillId="0" borderId="0" xfId="1" applyFont="1" applyAlignment="1">
      <alignment wrapText="1"/>
    </xf>
    <xf numFmtId="0" fontId="5" fillId="0" borderId="0" xfId="1" applyFont="1" applyFill="1" applyAlignment="1">
      <alignment horizontal="right"/>
    </xf>
    <xf numFmtId="0" fontId="5" fillId="0" borderId="0" xfId="1" applyFont="1" applyAlignment="1">
      <alignment wrapText="1"/>
    </xf>
    <xf numFmtId="1" fontId="2" fillId="0" borderId="0" xfId="1" applyNumberFormat="1" applyFont="1"/>
    <xf numFmtId="2" fontId="5" fillId="0" borderId="0" xfId="1" applyNumberFormat="1" applyFont="1" applyAlignment="1">
      <alignment wrapText="1"/>
    </xf>
    <xf numFmtId="166" fontId="2" fillId="0" borderId="0" xfId="1" applyNumberFormat="1" applyFont="1"/>
    <xf numFmtId="164" fontId="5" fillId="0" borderId="0" xfId="1" applyNumberFormat="1" applyFont="1" applyFill="1"/>
    <xf numFmtId="0" fontId="1" fillId="0" borderId="0" xfId="1"/>
    <xf numFmtId="0" fontId="2" fillId="0" borderId="0" xfId="1" applyFont="1"/>
    <xf numFmtId="164" fontId="1" fillId="0" borderId="0" xfId="1" applyNumberFormat="1"/>
    <xf numFmtId="0" fontId="2" fillId="0" borderId="0" xfId="1" applyFont="1" applyAlignment="1">
      <alignment wrapText="1"/>
    </xf>
    <xf numFmtId="165" fontId="5" fillId="0" borderId="0" xfId="1" applyNumberFormat="1" applyFont="1" applyFill="1" applyAlignment="1">
      <alignment horizontal="right"/>
    </xf>
    <xf numFmtId="164" fontId="2" fillId="0" borderId="0" xfId="1" applyNumberFormat="1" applyFont="1"/>
    <xf numFmtId="2" fontId="5" fillId="0" borderId="0" xfId="1" applyNumberFormat="1" applyFont="1" applyFill="1" applyAlignment="1">
      <alignment horizontal="right"/>
    </xf>
    <xf numFmtId="1" fontId="5" fillId="0" borderId="0" xfId="1" applyNumberFormat="1" applyFont="1" applyFill="1" applyAlignment="1">
      <alignment horizontal="right"/>
    </xf>
    <xf numFmtId="165" fontId="2" fillId="0" borderId="0" xfId="1" applyNumberFormat="1" applyFont="1"/>
    <xf numFmtId="2" fontId="2" fillId="0" borderId="0" xfId="1" applyNumberFormat="1" applyFont="1"/>
    <xf numFmtId="164" fontId="2" fillId="0" borderId="0" xfId="1" applyNumberFormat="1" applyFont="1" applyAlignment="1">
      <alignment wrapText="1"/>
    </xf>
    <xf numFmtId="0" fontId="6" fillId="0" borderId="0" xfId="1" applyFont="1" applyAlignment="1">
      <alignment wrapText="1"/>
    </xf>
    <xf numFmtId="0" fontId="5" fillId="0" borderId="0" xfId="1" applyFont="1" applyFill="1" applyAlignment="1">
      <alignment horizontal="right"/>
    </xf>
    <xf numFmtId="0" fontId="5" fillId="0" borderId="0" xfId="1" applyFont="1" applyAlignment="1">
      <alignment wrapText="1"/>
    </xf>
    <xf numFmtId="1" fontId="2" fillId="0" borderId="0" xfId="1" applyNumberFormat="1" applyFont="1"/>
    <xf numFmtId="2" fontId="5" fillId="0" borderId="0" xfId="1" applyNumberFormat="1" applyFont="1" applyAlignment="1">
      <alignment wrapText="1"/>
    </xf>
    <xf numFmtId="166" fontId="2" fillId="0" borderId="0" xfId="1" applyNumberFormat="1" applyFont="1"/>
    <xf numFmtId="164" fontId="5" fillId="0" borderId="0" xfId="1" applyNumberFormat="1" applyFont="1" applyFill="1"/>
    <xf numFmtId="0" fontId="1" fillId="0" borderId="0" xfId="1"/>
    <xf numFmtId="0" fontId="2" fillId="0" borderId="0" xfId="1" applyFont="1"/>
    <xf numFmtId="164" fontId="1" fillId="0" borderId="0" xfId="1" applyNumberFormat="1"/>
    <xf numFmtId="0" fontId="2" fillId="0" borderId="0" xfId="1" applyFont="1" applyAlignment="1">
      <alignment wrapText="1"/>
    </xf>
    <xf numFmtId="165" fontId="5" fillId="0" borderId="0" xfId="1" applyNumberFormat="1" applyFont="1" applyFill="1" applyAlignment="1">
      <alignment horizontal="right"/>
    </xf>
    <xf numFmtId="164" fontId="2" fillId="0" borderId="0" xfId="1" applyNumberFormat="1" applyFont="1"/>
    <xf numFmtId="2" fontId="5" fillId="0" borderId="0" xfId="1" applyNumberFormat="1" applyFont="1" applyFill="1" applyAlignment="1">
      <alignment horizontal="right"/>
    </xf>
    <xf numFmtId="1" fontId="5" fillId="0" borderId="0" xfId="1" applyNumberFormat="1" applyFont="1" applyFill="1" applyAlignment="1">
      <alignment horizontal="right"/>
    </xf>
    <xf numFmtId="165" fontId="2" fillId="0" borderId="0" xfId="1" applyNumberFormat="1" applyFont="1"/>
    <xf numFmtId="2" fontId="2" fillId="0" borderId="0" xfId="1" applyNumberFormat="1" applyFont="1"/>
    <xf numFmtId="164" fontId="2" fillId="0" borderId="0" xfId="1" applyNumberFormat="1" applyFont="1" applyAlignment="1">
      <alignment wrapText="1"/>
    </xf>
    <xf numFmtId="0" fontId="6" fillId="0" borderId="0" xfId="1" applyFont="1" applyAlignment="1">
      <alignment wrapText="1"/>
    </xf>
    <xf numFmtId="0" fontId="5" fillId="0" borderId="0" xfId="1" applyFont="1" applyFill="1" applyAlignment="1">
      <alignment horizontal="right"/>
    </xf>
    <xf numFmtId="0" fontId="5" fillId="0" borderId="0" xfId="1" applyFont="1" applyAlignment="1">
      <alignment wrapText="1"/>
    </xf>
    <xf numFmtId="1" fontId="2" fillId="0" borderId="0" xfId="1" applyNumberFormat="1" applyFont="1"/>
    <xf numFmtId="2" fontId="5" fillId="0" borderId="0" xfId="1" applyNumberFormat="1" applyFont="1" applyAlignment="1">
      <alignment wrapText="1"/>
    </xf>
    <xf numFmtId="166" fontId="2" fillId="0" borderId="0" xfId="1" applyNumberFormat="1" applyFont="1"/>
    <xf numFmtId="164" fontId="5" fillId="0" borderId="0" xfId="1" applyNumberFormat="1" applyFont="1" applyFill="1"/>
    <xf numFmtId="1" fontId="2" fillId="0" borderId="0" xfId="1" applyNumberFormat="1" applyFont="1" applyAlignment="1">
      <alignment wrapText="1"/>
    </xf>
    <xf numFmtId="10" fontId="2" fillId="0" borderId="0" xfId="1" applyNumberFormat="1" applyFont="1" applyAlignment="1">
      <alignment wrapText="1"/>
    </xf>
    <xf numFmtId="0" fontId="1" fillId="0" borderId="0" xfId="1"/>
    <xf numFmtId="0" fontId="2" fillId="0" borderId="0" xfId="1" applyFont="1"/>
    <xf numFmtId="164" fontId="1" fillId="0" borderId="0" xfId="1" applyNumberFormat="1"/>
    <xf numFmtId="0" fontId="2" fillId="0" borderId="0" xfId="1" applyFont="1" applyAlignment="1">
      <alignment wrapText="1"/>
    </xf>
    <xf numFmtId="165" fontId="5" fillId="0" borderId="0" xfId="1" applyNumberFormat="1" applyFont="1" applyFill="1" applyAlignment="1">
      <alignment horizontal="right"/>
    </xf>
    <xf numFmtId="164" fontId="2" fillId="0" borderId="0" xfId="1" applyNumberFormat="1" applyFont="1"/>
    <xf numFmtId="2" fontId="5" fillId="0" borderId="0" xfId="1" applyNumberFormat="1" applyFont="1" applyFill="1" applyAlignment="1">
      <alignment horizontal="right"/>
    </xf>
    <xf numFmtId="1" fontId="5" fillId="0" borderId="0" xfId="1" applyNumberFormat="1" applyFont="1" applyFill="1" applyAlignment="1">
      <alignment horizontal="right"/>
    </xf>
    <xf numFmtId="165" fontId="2" fillId="0" borderId="0" xfId="1" applyNumberFormat="1" applyFont="1"/>
    <xf numFmtId="2" fontId="2" fillId="0" borderId="0" xfId="1" applyNumberFormat="1" applyFont="1"/>
    <xf numFmtId="164" fontId="2" fillId="0" borderId="0" xfId="1" applyNumberFormat="1" applyFont="1" applyAlignment="1">
      <alignment wrapText="1"/>
    </xf>
    <xf numFmtId="0" fontId="6" fillId="0" borderId="0" xfId="1" applyFont="1" applyAlignment="1">
      <alignment wrapText="1"/>
    </xf>
    <xf numFmtId="0" fontId="5" fillId="0" borderId="0" xfId="1" applyFont="1" applyFill="1" applyAlignment="1">
      <alignment horizontal="right"/>
    </xf>
    <xf numFmtId="0" fontId="5" fillId="0" borderId="0" xfId="1" applyFont="1" applyAlignment="1">
      <alignment wrapText="1"/>
    </xf>
    <xf numFmtId="1" fontId="2" fillId="0" borderId="0" xfId="1" applyNumberFormat="1" applyFont="1"/>
    <xf numFmtId="2" fontId="5" fillId="0" borderId="0" xfId="1" applyNumberFormat="1" applyFont="1" applyAlignment="1">
      <alignment wrapText="1"/>
    </xf>
    <xf numFmtId="166" fontId="2" fillId="0" borderId="0" xfId="1" applyNumberFormat="1" applyFont="1"/>
    <xf numFmtId="164" fontId="5" fillId="0" borderId="0" xfId="1" applyNumberFormat="1" applyFont="1" applyFill="1"/>
    <xf numFmtId="1" fontId="2" fillId="0" borderId="0" xfId="1" applyNumberFormat="1" applyFont="1" applyAlignment="1">
      <alignment wrapText="1"/>
    </xf>
    <xf numFmtId="0" fontId="1" fillId="0" borderId="0" xfId="1"/>
    <xf numFmtId="0" fontId="2" fillId="0" borderId="0" xfId="1" applyFont="1"/>
    <xf numFmtId="164" fontId="1" fillId="0" borderId="0" xfId="1" applyNumberFormat="1"/>
    <xf numFmtId="0" fontId="2" fillId="0" borderId="0" xfId="1" applyFont="1" applyAlignment="1">
      <alignment wrapText="1"/>
    </xf>
    <xf numFmtId="165" fontId="5" fillId="0" borderId="0" xfId="1" applyNumberFormat="1" applyFont="1" applyFill="1" applyAlignment="1">
      <alignment horizontal="right"/>
    </xf>
    <xf numFmtId="164" fontId="2" fillId="0" borderId="0" xfId="1" applyNumberFormat="1" applyFont="1"/>
    <xf numFmtId="2" fontId="5" fillId="0" borderId="0" xfId="1" applyNumberFormat="1" applyFont="1" applyFill="1" applyAlignment="1">
      <alignment horizontal="right"/>
    </xf>
    <xf numFmtId="1" fontId="5" fillId="0" borderId="0" xfId="1" applyNumberFormat="1" applyFont="1" applyFill="1" applyAlignment="1">
      <alignment horizontal="right"/>
    </xf>
    <xf numFmtId="165" fontId="2" fillId="0" borderId="0" xfId="1" applyNumberFormat="1" applyFont="1"/>
    <xf numFmtId="2" fontId="2" fillId="0" borderId="0" xfId="1" applyNumberFormat="1" applyFont="1"/>
    <xf numFmtId="164" fontId="2" fillId="0" borderId="0" xfId="1" applyNumberFormat="1" applyFont="1" applyAlignment="1">
      <alignment wrapText="1"/>
    </xf>
    <xf numFmtId="0" fontId="6" fillId="0" borderId="0" xfId="1" applyFont="1" applyAlignment="1">
      <alignment wrapText="1"/>
    </xf>
    <xf numFmtId="0" fontId="5" fillId="0" borderId="0" xfId="1" applyFont="1" applyFill="1" applyAlignment="1">
      <alignment horizontal="right"/>
    </xf>
    <xf numFmtId="0" fontId="5" fillId="0" borderId="0" xfId="1" applyFont="1" applyAlignment="1">
      <alignment wrapText="1"/>
    </xf>
    <xf numFmtId="1" fontId="2" fillId="0" borderId="0" xfId="1" applyNumberFormat="1" applyFont="1"/>
    <xf numFmtId="2" fontId="5" fillId="0" borderId="0" xfId="1" applyNumberFormat="1" applyFont="1" applyAlignment="1">
      <alignment wrapText="1"/>
    </xf>
    <xf numFmtId="166" fontId="2" fillId="0" borderId="0" xfId="1" applyNumberFormat="1" applyFont="1"/>
    <xf numFmtId="164" fontId="5" fillId="0" borderId="0" xfId="1" applyNumberFormat="1" applyFont="1" applyFill="1"/>
    <xf numFmtId="1" fontId="2" fillId="0" borderId="0" xfId="1" applyNumberFormat="1" applyFont="1" applyAlignment="1">
      <alignment wrapText="1"/>
    </xf>
    <xf numFmtId="0" fontId="1" fillId="0" borderId="0" xfId="1"/>
    <xf numFmtId="0" fontId="2" fillId="0" borderId="0" xfId="1" applyFont="1"/>
    <xf numFmtId="164" fontId="1" fillId="0" borderId="0" xfId="1" applyNumberFormat="1"/>
    <xf numFmtId="0" fontId="2" fillId="0" borderId="0" xfId="1" applyFont="1" applyAlignment="1">
      <alignment wrapText="1"/>
    </xf>
    <xf numFmtId="165" fontId="5" fillId="0" borderId="0" xfId="1" applyNumberFormat="1" applyFont="1" applyFill="1" applyAlignment="1">
      <alignment horizontal="right"/>
    </xf>
    <xf numFmtId="164" fontId="2" fillId="0" borderId="0" xfId="1" applyNumberFormat="1" applyFont="1"/>
    <xf numFmtId="2" fontId="5" fillId="0" borderId="0" xfId="1" applyNumberFormat="1" applyFont="1" applyFill="1" applyAlignment="1">
      <alignment horizontal="right"/>
    </xf>
    <xf numFmtId="1" fontId="5" fillId="0" borderId="0" xfId="1" applyNumberFormat="1" applyFont="1" applyFill="1" applyAlignment="1">
      <alignment horizontal="right"/>
    </xf>
    <xf numFmtId="165" fontId="2" fillId="0" borderId="0" xfId="1" applyNumberFormat="1" applyFont="1"/>
    <xf numFmtId="2" fontId="2" fillId="0" borderId="0" xfId="1" applyNumberFormat="1" applyFont="1"/>
    <xf numFmtId="164" fontId="2" fillId="0" borderId="0" xfId="1" applyNumberFormat="1" applyFont="1" applyAlignment="1">
      <alignment wrapText="1"/>
    </xf>
    <xf numFmtId="0" fontId="6" fillId="0" borderId="0" xfId="1" applyFont="1" applyAlignment="1">
      <alignment wrapText="1"/>
    </xf>
    <xf numFmtId="0" fontId="5" fillId="0" borderId="0" xfId="1" applyFont="1" applyFill="1" applyAlignment="1">
      <alignment horizontal="right"/>
    </xf>
    <xf numFmtId="0" fontId="5" fillId="0" borderId="0" xfId="1" applyFont="1" applyAlignment="1">
      <alignment wrapText="1"/>
    </xf>
    <xf numFmtId="1" fontId="2" fillId="0" borderId="0" xfId="1" applyNumberFormat="1" applyFont="1"/>
    <xf numFmtId="2" fontId="5" fillId="0" borderId="0" xfId="1" applyNumberFormat="1" applyFont="1" applyAlignment="1">
      <alignment wrapText="1"/>
    </xf>
    <xf numFmtId="166" fontId="2" fillId="0" borderId="0" xfId="1" applyNumberFormat="1" applyFont="1"/>
    <xf numFmtId="164" fontId="5" fillId="0" borderId="0" xfId="1" applyNumberFormat="1" applyFont="1" applyFill="1"/>
    <xf numFmtId="1" fontId="2" fillId="0" borderId="0" xfId="1" applyNumberFormat="1" applyFont="1" applyAlignment="1">
      <alignment wrapText="1"/>
    </xf>
    <xf numFmtId="0" fontId="1" fillId="0" borderId="0" xfId="1"/>
    <xf numFmtId="0" fontId="2" fillId="0" borderId="0" xfId="1" applyFont="1"/>
    <xf numFmtId="164" fontId="1" fillId="0" borderId="0" xfId="1" applyNumberFormat="1"/>
    <xf numFmtId="0" fontId="2" fillId="0" borderId="0" xfId="1" applyFont="1" applyAlignment="1">
      <alignment wrapText="1"/>
    </xf>
    <xf numFmtId="165" fontId="5" fillId="0" borderId="0" xfId="1" applyNumberFormat="1" applyFont="1" applyFill="1" applyAlignment="1">
      <alignment horizontal="right"/>
    </xf>
    <xf numFmtId="164" fontId="2" fillId="0" borderId="0" xfId="1" applyNumberFormat="1" applyFont="1"/>
    <xf numFmtId="2" fontId="5" fillId="0" borderId="0" xfId="1" applyNumberFormat="1" applyFont="1" applyFill="1" applyAlignment="1">
      <alignment horizontal="right"/>
    </xf>
    <xf numFmtId="1" fontId="5" fillId="0" borderId="0" xfId="1" applyNumberFormat="1" applyFont="1" applyFill="1" applyAlignment="1">
      <alignment horizontal="right"/>
    </xf>
    <xf numFmtId="165" fontId="2" fillId="0" borderId="0" xfId="1" applyNumberFormat="1" applyFont="1"/>
    <xf numFmtId="2" fontId="2" fillId="0" borderId="0" xfId="1" applyNumberFormat="1" applyFont="1"/>
    <xf numFmtId="164" fontId="2" fillId="0" borderId="0" xfId="1" applyNumberFormat="1" applyFont="1" applyAlignment="1">
      <alignment wrapText="1"/>
    </xf>
    <xf numFmtId="0" fontId="6" fillId="0" borderId="0" xfId="1" applyFont="1" applyAlignment="1">
      <alignment wrapText="1"/>
    </xf>
    <xf numFmtId="0" fontId="5" fillId="0" borderId="0" xfId="1" applyFont="1" applyFill="1" applyAlignment="1">
      <alignment horizontal="right"/>
    </xf>
    <xf numFmtId="0" fontId="5" fillId="0" borderId="0" xfId="1" applyFont="1" applyAlignment="1">
      <alignment wrapText="1"/>
    </xf>
    <xf numFmtId="1" fontId="2" fillId="0" borderId="0" xfId="1" applyNumberFormat="1" applyFont="1"/>
    <xf numFmtId="2" fontId="5" fillId="0" borderId="0" xfId="1" applyNumberFormat="1" applyFont="1" applyAlignment="1">
      <alignment wrapText="1"/>
    </xf>
    <xf numFmtId="166" fontId="2" fillId="0" borderId="0" xfId="1" applyNumberFormat="1" applyFont="1"/>
    <xf numFmtId="164" fontId="5" fillId="0" borderId="0" xfId="1" applyNumberFormat="1" applyFont="1" applyFill="1"/>
    <xf numFmtId="1" fontId="2" fillId="0" borderId="0" xfId="1" applyNumberFormat="1" applyFont="1" applyAlignment="1">
      <alignment wrapText="1"/>
    </xf>
    <xf numFmtId="0" fontId="1" fillId="0" borderId="0" xfId="1"/>
    <xf numFmtId="0" fontId="2" fillId="0" borderId="0" xfId="1" applyFont="1"/>
    <xf numFmtId="164" fontId="1" fillId="0" borderId="0" xfId="1" applyNumberFormat="1"/>
    <xf numFmtId="0" fontId="2" fillId="0" borderId="0" xfId="1" applyFont="1" applyAlignment="1">
      <alignment wrapText="1"/>
    </xf>
    <xf numFmtId="165" fontId="5" fillId="0" borderId="0" xfId="1" applyNumberFormat="1" applyFont="1" applyFill="1" applyAlignment="1">
      <alignment horizontal="right"/>
    </xf>
    <xf numFmtId="164" fontId="2" fillId="0" borderId="0" xfId="1" applyNumberFormat="1" applyFont="1"/>
    <xf numFmtId="2" fontId="5" fillId="0" borderId="0" xfId="1" applyNumberFormat="1" applyFont="1" applyFill="1" applyAlignment="1">
      <alignment horizontal="right"/>
    </xf>
    <xf numFmtId="1" fontId="5" fillId="0" borderId="0" xfId="1" applyNumberFormat="1" applyFont="1" applyFill="1" applyAlignment="1">
      <alignment horizontal="right"/>
    </xf>
    <xf numFmtId="165" fontId="2" fillId="0" borderId="0" xfId="1" applyNumberFormat="1" applyFont="1"/>
    <xf numFmtId="2" fontId="2" fillId="0" borderId="0" xfId="1" applyNumberFormat="1" applyFont="1"/>
    <xf numFmtId="164" fontId="2" fillId="0" borderId="0" xfId="1" applyNumberFormat="1" applyFont="1" applyAlignment="1">
      <alignment wrapText="1"/>
    </xf>
    <xf numFmtId="0" fontId="6" fillId="0" borderId="0" xfId="1" applyFont="1" applyAlignment="1">
      <alignment wrapText="1"/>
    </xf>
    <xf numFmtId="0" fontId="5" fillId="0" borderId="0" xfId="1" applyFont="1" applyFill="1" applyAlignment="1">
      <alignment horizontal="right"/>
    </xf>
    <xf numFmtId="0" fontId="5" fillId="0" borderId="0" xfId="1" applyFont="1" applyAlignment="1">
      <alignment wrapText="1"/>
    </xf>
    <xf numFmtId="1" fontId="2" fillId="0" borderId="0" xfId="1" applyNumberFormat="1" applyFont="1"/>
    <xf numFmtId="2" fontId="5" fillId="0" borderId="0" xfId="1" applyNumberFormat="1" applyFont="1" applyAlignment="1">
      <alignment wrapText="1"/>
    </xf>
    <xf numFmtId="166" fontId="2" fillId="0" borderId="0" xfId="1" applyNumberFormat="1" applyFont="1"/>
    <xf numFmtId="164" fontId="5" fillId="0" borderId="0" xfId="1" applyNumberFormat="1" applyFont="1" applyFill="1"/>
    <xf numFmtId="1" fontId="2" fillId="0" borderId="0" xfId="1" applyNumberFormat="1" applyFont="1" applyAlignment="1">
      <alignment wrapText="1"/>
    </xf>
    <xf numFmtId="0" fontId="1" fillId="0" borderId="0" xfId="1"/>
    <xf numFmtId="0" fontId="2" fillId="0" borderId="0" xfId="1" applyFont="1"/>
    <xf numFmtId="164" fontId="1" fillId="0" borderId="0" xfId="1" applyNumberFormat="1"/>
    <xf numFmtId="0" fontId="2" fillId="0" borderId="0" xfId="1" applyFont="1" applyAlignment="1">
      <alignment wrapText="1"/>
    </xf>
    <xf numFmtId="165" fontId="5" fillId="0" borderId="0" xfId="1" applyNumberFormat="1" applyFont="1" applyFill="1" applyAlignment="1">
      <alignment horizontal="right"/>
    </xf>
    <xf numFmtId="164" fontId="2" fillId="0" borderId="0" xfId="1" applyNumberFormat="1" applyFont="1"/>
    <xf numFmtId="2" fontId="5" fillId="0" borderId="0" xfId="1" applyNumberFormat="1" applyFont="1" applyFill="1" applyAlignment="1">
      <alignment horizontal="right"/>
    </xf>
    <xf numFmtId="1" fontId="5" fillId="0" borderId="0" xfId="1" applyNumberFormat="1" applyFont="1" applyFill="1" applyAlignment="1">
      <alignment horizontal="right"/>
    </xf>
    <xf numFmtId="165" fontId="2" fillId="0" borderId="0" xfId="1" applyNumberFormat="1" applyFont="1"/>
    <xf numFmtId="2" fontId="2" fillId="0" borderId="0" xfId="1" applyNumberFormat="1" applyFont="1"/>
    <xf numFmtId="164" fontId="2" fillId="0" borderId="0" xfId="1" applyNumberFormat="1" applyFont="1" applyAlignment="1">
      <alignment wrapText="1"/>
    </xf>
    <xf numFmtId="0" fontId="6" fillId="0" borderId="0" xfId="1" applyFont="1" applyAlignment="1">
      <alignment wrapText="1"/>
    </xf>
    <xf numFmtId="0" fontId="5" fillId="0" borderId="0" xfId="1" applyFont="1" applyFill="1" applyAlignment="1">
      <alignment horizontal="right"/>
    </xf>
    <xf numFmtId="0" fontId="5" fillId="0" borderId="0" xfId="1" applyFont="1" applyAlignment="1">
      <alignment wrapText="1"/>
    </xf>
    <xf numFmtId="1" fontId="2" fillId="0" borderId="0" xfId="1" applyNumberFormat="1" applyFont="1"/>
    <xf numFmtId="2" fontId="5" fillId="0" borderId="0" xfId="1" applyNumberFormat="1" applyFont="1" applyAlignment="1">
      <alignment wrapText="1"/>
    </xf>
    <xf numFmtId="166" fontId="2" fillId="0" borderId="0" xfId="1" applyNumberFormat="1" applyFont="1"/>
    <xf numFmtId="164" fontId="5" fillId="0" borderId="0" xfId="1" applyNumberFormat="1" applyFont="1" applyFill="1"/>
    <xf numFmtId="1" fontId="2" fillId="0" borderId="0" xfId="1" applyNumberFormat="1" applyFont="1" applyAlignment="1">
      <alignment wrapText="1"/>
    </xf>
    <xf numFmtId="0" fontId="1" fillId="0" borderId="0" xfId="1"/>
    <xf numFmtId="0" fontId="2" fillId="0" borderId="0" xfId="1" applyFont="1"/>
    <xf numFmtId="164" fontId="1" fillId="0" borderId="0" xfId="1" applyNumberFormat="1"/>
    <xf numFmtId="0" fontId="2" fillId="0" borderId="0" xfId="1" applyFont="1" applyAlignment="1">
      <alignment wrapText="1"/>
    </xf>
    <xf numFmtId="165" fontId="5" fillId="0" borderId="0" xfId="1" applyNumberFormat="1" applyFont="1" applyFill="1" applyAlignment="1">
      <alignment horizontal="right"/>
    </xf>
    <xf numFmtId="164" fontId="2" fillId="0" borderId="0" xfId="1" applyNumberFormat="1" applyFont="1"/>
    <xf numFmtId="2" fontId="5" fillId="0" borderId="0" xfId="1" applyNumberFormat="1" applyFont="1" applyFill="1" applyAlignment="1">
      <alignment horizontal="right"/>
    </xf>
    <xf numFmtId="1" fontId="5" fillId="0" borderId="0" xfId="1" applyNumberFormat="1" applyFont="1" applyFill="1" applyAlignment="1">
      <alignment horizontal="right"/>
    </xf>
    <xf numFmtId="165" fontId="2" fillId="0" borderId="0" xfId="1" applyNumberFormat="1" applyFont="1"/>
    <xf numFmtId="2" fontId="2" fillId="0" borderId="0" xfId="1" applyNumberFormat="1" applyFont="1"/>
    <xf numFmtId="164" fontId="2" fillId="0" borderId="0" xfId="1" applyNumberFormat="1" applyFont="1" applyAlignment="1">
      <alignment wrapText="1"/>
    </xf>
    <xf numFmtId="0" fontId="6" fillId="0" borderId="0" xfId="1" applyFont="1" applyAlignment="1">
      <alignment wrapText="1"/>
    </xf>
    <xf numFmtId="0" fontId="5" fillId="0" borderId="0" xfId="1" applyFont="1" applyFill="1" applyAlignment="1">
      <alignment horizontal="right"/>
    </xf>
    <xf numFmtId="0" fontId="5" fillId="0" borderId="0" xfId="1" applyFont="1" applyAlignment="1">
      <alignment wrapText="1"/>
    </xf>
    <xf numFmtId="1" fontId="2" fillId="0" borderId="0" xfId="1" applyNumberFormat="1" applyFont="1"/>
    <xf numFmtId="2" fontId="5" fillId="0" borderId="0" xfId="1" applyNumberFormat="1" applyFont="1" applyAlignment="1">
      <alignment wrapText="1"/>
    </xf>
    <xf numFmtId="166" fontId="2" fillId="0" borderId="0" xfId="1" applyNumberFormat="1" applyFont="1"/>
    <xf numFmtId="164" fontId="5" fillId="0" borderId="0" xfId="1" applyNumberFormat="1" applyFont="1" applyFill="1"/>
    <xf numFmtId="1" fontId="2" fillId="0" borderId="0" xfId="1" applyNumberFormat="1" applyFont="1" applyAlignment="1">
      <alignment wrapText="1"/>
    </xf>
    <xf numFmtId="0" fontId="1" fillId="0" borderId="0" xfId="1"/>
    <xf numFmtId="0" fontId="2" fillId="0" borderId="0" xfId="1" applyFont="1"/>
    <xf numFmtId="164" fontId="1" fillId="0" borderId="0" xfId="1" applyNumberFormat="1"/>
    <xf numFmtId="0" fontId="2" fillId="0" borderId="0" xfId="1" applyFont="1" applyAlignment="1">
      <alignment wrapText="1"/>
    </xf>
    <xf numFmtId="165" fontId="5" fillId="0" borderId="0" xfId="1" applyNumberFormat="1" applyFont="1" applyFill="1" applyAlignment="1">
      <alignment horizontal="right"/>
    </xf>
    <xf numFmtId="164" fontId="2" fillId="0" borderId="0" xfId="1" applyNumberFormat="1" applyFont="1"/>
    <xf numFmtId="2" fontId="5" fillId="0" borderId="0" xfId="1" applyNumberFormat="1" applyFont="1" applyFill="1" applyAlignment="1">
      <alignment horizontal="right"/>
    </xf>
    <xf numFmtId="1" fontId="5" fillId="0" borderId="0" xfId="1" applyNumberFormat="1" applyFont="1" applyFill="1" applyAlignment="1">
      <alignment horizontal="right"/>
    </xf>
    <xf numFmtId="165" fontId="2" fillId="0" borderId="0" xfId="1" applyNumberFormat="1" applyFont="1"/>
    <xf numFmtId="2" fontId="2" fillId="0" borderId="0" xfId="1" applyNumberFormat="1" applyFont="1"/>
    <xf numFmtId="164" fontId="2" fillId="0" borderId="0" xfId="1" applyNumberFormat="1" applyFont="1" applyAlignment="1">
      <alignment wrapText="1"/>
    </xf>
    <xf numFmtId="0" fontId="6" fillId="0" borderId="0" xfId="1" applyFont="1" applyAlignment="1">
      <alignment wrapText="1"/>
    </xf>
    <xf numFmtId="0" fontId="5" fillId="0" borderId="0" xfId="1" applyFont="1" applyFill="1" applyAlignment="1">
      <alignment horizontal="right"/>
    </xf>
    <xf numFmtId="0" fontId="5" fillId="0" borderId="0" xfId="1" applyFont="1" applyAlignment="1">
      <alignment wrapText="1"/>
    </xf>
    <xf numFmtId="1" fontId="2" fillId="0" borderId="0" xfId="1" applyNumberFormat="1" applyFont="1"/>
    <xf numFmtId="2" fontId="5" fillId="0" borderId="0" xfId="1" applyNumberFormat="1" applyFont="1" applyAlignment="1">
      <alignment wrapText="1"/>
    </xf>
    <xf numFmtId="166" fontId="2" fillId="0" borderId="0" xfId="1" applyNumberFormat="1" applyFont="1"/>
    <xf numFmtId="164" fontId="5" fillId="0" borderId="0" xfId="1" applyNumberFormat="1" applyFont="1" applyFill="1"/>
    <xf numFmtId="1" fontId="2" fillId="0" borderId="0" xfId="1" applyNumberFormat="1" applyFont="1" applyAlignment="1">
      <alignment wrapText="1"/>
    </xf>
    <xf numFmtId="0" fontId="1" fillId="0" borderId="0" xfId="1"/>
    <xf numFmtId="0" fontId="2" fillId="0" borderId="0" xfId="1" applyFont="1"/>
    <xf numFmtId="164" fontId="1" fillId="0" borderId="0" xfId="1" applyNumberFormat="1"/>
    <xf numFmtId="0" fontId="2" fillId="0" borderId="0" xfId="1" applyFont="1" applyAlignment="1">
      <alignment wrapText="1"/>
    </xf>
    <xf numFmtId="165" fontId="5" fillId="0" borderId="0" xfId="1" applyNumberFormat="1" applyFont="1" applyFill="1" applyAlignment="1">
      <alignment horizontal="right"/>
    </xf>
    <xf numFmtId="164" fontId="2" fillId="0" borderId="0" xfId="1" applyNumberFormat="1" applyFont="1"/>
    <xf numFmtId="2" fontId="5" fillId="0" borderId="0" xfId="1" applyNumberFormat="1" applyFont="1" applyFill="1" applyAlignment="1">
      <alignment horizontal="right"/>
    </xf>
    <xf numFmtId="1" fontId="5" fillId="0" borderId="0" xfId="1" applyNumberFormat="1" applyFont="1" applyFill="1" applyAlignment="1">
      <alignment horizontal="right"/>
    </xf>
    <xf numFmtId="165" fontId="2" fillId="0" borderId="0" xfId="1" applyNumberFormat="1" applyFont="1"/>
    <xf numFmtId="2" fontId="2" fillId="0" borderId="0" xfId="1" applyNumberFormat="1" applyFont="1"/>
    <xf numFmtId="164" fontId="2" fillId="0" borderId="0" xfId="1" applyNumberFormat="1" applyFont="1" applyAlignment="1">
      <alignment wrapText="1"/>
    </xf>
    <xf numFmtId="0" fontId="6" fillId="0" borderId="0" xfId="1" applyFont="1" applyAlignment="1">
      <alignment wrapText="1"/>
    </xf>
    <xf numFmtId="0" fontId="5" fillId="0" borderId="0" xfId="1" applyFont="1" applyFill="1" applyAlignment="1">
      <alignment horizontal="right"/>
    </xf>
    <xf numFmtId="0" fontId="5" fillId="0" borderId="0" xfId="1" applyFont="1" applyAlignment="1">
      <alignment wrapText="1"/>
    </xf>
    <xf numFmtId="1" fontId="2" fillId="0" borderId="0" xfId="1" applyNumberFormat="1" applyFont="1"/>
    <xf numFmtId="2" fontId="5" fillId="0" borderId="0" xfId="1" applyNumberFormat="1" applyFont="1" applyAlignment="1">
      <alignment wrapText="1"/>
    </xf>
    <xf numFmtId="166" fontId="2" fillId="0" borderId="0" xfId="1" applyNumberFormat="1" applyFont="1"/>
    <xf numFmtId="164" fontId="5" fillId="0" borderId="0" xfId="1" applyNumberFormat="1" applyFont="1" applyFill="1"/>
    <xf numFmtId="1" fontId="2" fillId="0" borderId="0" xfId="1" applyNumberFormat="1" applyFont="1" applyAlignment="1">
      <alignment wrapText="1"/>
    </xf>
    <xf numFmtId="0" fontId="1" fillId="0" borderId="0" xfId="1"/>
    <xf numFmtId="0" fontId="2" fillId="0" borderId="0" xfId="1" applyFont="1"/>
    <xf numFmtId="164" fontId="1" fillId="0" borderId="0" xfId="1" applyNumberFormat="1"/>
    <xf numFmtId="0" fontId="2" fillId="0" borderId="0" xfId="1" applyFont="1" applyAlignment="1">
      <alignment wrapText="1"/>
    </xf>
    <xf numFmtId="165" fontId="5" fillId="0" borderId="0" xfId="1" applyNumberFormat="1" applyFont="1" applyFill="1" applyAlignment="1">
      <alignment horizontal="right"/>
    </xf>
    <xf numFmtId="164" fontId="2" fillId="0" borderId="0" xfId="1" applyNumberFormat="1" applyFont="1"/>
    <xf numFmtId="2" fontId="5" fillId="0" borderId="0" xfId="1" applyNumberFormat="1" applyFont="1" applyFill="1" applyAlignment="1">
      <alignment horizontal="right"/>
    </xf>
    <xf numFmtId="1" fontId="5" fillId="0" borderId="0" xfId="1" applyNumberFormat="1" applyFont="1" applyFill="1" applyAlignment="1">
      <alignment horizontal="right"/>
    </xf>
    <xf numFmtId="165" fontId="2" fillId="0" borderId="0" xfId="1" applyNumberFormat="1" applyFont="1"/>
    <xf numFmtId="2" fontId="2" fillId="0" borderId="0" xfId="1" applyNumberFormat="1" applyFont="1"/>
    <xf numFmtId="164" fontId="2" fillId="0" borderId="0" xfId="1" applyNumberFormat="1" applyFont="1" applyAlignment="1">
      <alignment wrapText="1"/>
    </xf>
    <xf numFmtId="0" fontId="6" fillId="0" borderId="0" xfId="1" applyFont="1" applyAlignment="1">
      <alignment wrapText="1"/>
    </xf>
    <xf numFmtId="0" fontId="5" fillId="0" borderId="0" xfId="1" applyFont="1" applyFill="1" applyAlignment="1">
      <alignment horizontal="right"/>
    </xf>
    <xf numFmtId="0" fontId="5" fillId="0" borderId="0" xfId="1" applyFont="1" applyAlignment="1">
      <alignment wrapText="1"/>
    </xf>
    <xf numFmtId="1" fontId="2" fillId="0" borderId="0" xfId="1" applyNumberFormat="1" applyFont="1"/>
    <xf numFmtId="2" fontId="5" fillId="0" borderId="0" xfId="1" applyNumberFormat="1" applyFont="1" applyAlignment="1">
      <alignment wrapText="1"/>
    </xf>
    <xf numFmtId="166" fontId="2" fillId="0" borderId="0" xfId="1" applyNumberFormat="1" applyFont="1"/>
    <xf numFmtId="164" fontId="5" fillId="0" borderId="0" xfId="1" applyNumberFormat="1" applyFont="1" applyFill="1"/>
    <xf numFmtId="1" fontId="2" fillId="0" borderId="0" xfId="1" applyNumberFormat="1" applyFont="1" applyAlignment="1">
      <alignment wrapText="1"/>
    </xf>
    <xf numFmtId="0" fontId="1" fillId="0" borderId="0" xfId="1"/>
    <xf numFmtId="0" fontId="2" fillId="0" borderId="0" xfId="1" applyFont="1"/>
    <xf numFmtId="164" fontId="1" fillId="0" borderId="0" xfId="1" applyNumberFormat="1"/>
    <xf numFmtId="0" fontId="2" fillId="0" borderId="0" xfId="1" applyFont="1" applyAlignment="1">
      <alignment wrapText="1"/>
    </xf>
    <xf numFmtId="165" fontId="5" fillId="0" borderId="0" xfId="1" applyNumberFormat="1" applyFont="1" applyFill="1" applyAlignment="1">
      <alignment horizontal="right"/>
    </xf>
    <xf numFmtId="164" fontId="2" fillId="0" borderId="0" xfId="1" applyNumberFormat="1" applyFont="1"/>
    <xf numFmtId="2" fontId="5" fillId="0" borderId="0" xfId="1" applyNumberFormat="1" applyFont="1" applyFill="1" applyAlignment="1">
      <alignment horizontal="right"/>
    </xf>
    <xf numFmtId="1" fontId="5" fillId="0" borderId="0" xfId="1" applyNumberFormat="1" applyFont="1" applyFill="1" applyAlignment="1">
      <alignment horizontal="right"/>
    </xf>
    <xf numFmtId="165" fontId="2" fillId="0" borderId="0" xfId="1" applyNumberFormat="1" applyFont="1"/>
    <xf numFmtId="2" fontId="2" fillId="0" borderId="0" xfId="1" applyNumberFormat="1" applyFont="1"/>
    <xf numFmtId="164" fontId="2" fillId="0" borderId="0" xfId="1" applyNumberFormat="1" applyFont="1" applyAlignment="1">
      <alignment wrapText="1"/>
    </xf>
    <xf numFmtId="0" fontId="6" fillId="0" borderId="0" xfId="1" applyFont="1" applyAlignment="1">
      <alignment wrapText="1"/>
    </xf>
    <xf numFmtId="0" fontId="5" fillId="0" borderId="0" xfId="1" applyFont="1" applyFill="1" applyAlignment="1">
      <alignment horizontal="right"/>
    </xf>
    <xf numFmtId="0" fontId="5" fillId="0" borderId="0" xfId="1" applyFont="1" applyAlignment="1">
      <alignment wrapText="1"/>
    </xf>
    <xf numFmtId="1" fontId="2" fillId="0" borderId="0" xfId="1" applyNumberFormat="1" applyFont="1"/>
    <xf numFmtId="2" fontId="5" fillId="0" borderId="0" xfId="1" applyNumberFormat="1" applyFont="1" applyAlignment="1">
      <alignment wrapText="1"/>
    </xf>
    <xf numFmtId="166" fontId="2" fillId="0" borderId="0" xfId="1" applyNumberFormat="1" applyFont="1"/>
    <xf numFmtId="164" fontId="5" fillId="0" borderId="0" xfId="1" applyNumberFormat="1" applyFont="1" applyFill="1"/>
    <xf numFmtId="1" fontId="2" fillId="0" borderId="0" xfId="1" applyNumberFormat="1" applyFont="1" applyAlignment="1">
      <alignment wrapText="1"/>
    </xf>
    <xf numFmtId="0" fontId="1" fillId="0" borderId="0" xfId="1"/>
    <xf numFmtId="0" fontId="2" fillId="0" borderId="0" xfId="1" applyFont="1"/>
    <xf numFmtId="164" fontId="1" fillId="0" borderId="0" xfId="1" applyNumberFormat="1"/>
    <xf numFmtId="0" fontId="2" fillId="0" borderId="0" xfId="1" applyFont="1" applyAlignment="1">
      <alignment wrapText="1"/>
    </xf>
    <xf numFmtId="165" fontId="5" fillId="0" borderId="0" xfId="1" applyNumberFormat="1" applyFont="1" applyFill="1" applyAlignment="1">
      <alignment horizontal="right"/>
    </xf>
    <xf numFmtId="164" fontId="2" fillId="0" borderId="0" xfId="1" applyNumberFormat="1" applyFont="1"/>
    <xf numFmtId="2" fontId="5" fillId="0" borderId="0" xfId="1" applyNumberFormat="1" applyFont="1" applyFill="1" applyAlignment="1">
      <alignment horizontal="right"/>
    </xf>
    <xf numFmtId="1" fontId="5" fillId="0" borderId="0" xfId="1" applyNumberFormat="1" applyFont="1" applyFill="1" applyAlignment="1">
      <alignment horizontal="right"/>
    </xf>
    <xf numFmtId="165" fontId="2" fillId="0" borderId="0" xfId="1" applyNumberFormat="1" applyFont="1"/>
    <xf numFmtId="2" fontId="2" fillId="0" borderId="0" xfId="1" applyNumberFormat="1" applyFont="1"/>
    <xf numFmtId="164" fontId="2" fillId="0" borderId="0" xfId="1" applyNumberFormat="1" applyFont="1" applyAlignment="1">
      <alignment wrapText="1"/>
    </xf>
    <xf numFmtId="0" fontId="6" fillId="0" borderId="0" xfId="1" applyFont="1" applyAlignment="1">
      <alignment wrapText="1"/>
    </xf>
    <xf numFmtId="0" fontId="5" fillId="0" borderId="0" xfId="1" applyFont="1" applyFill="1" applyAlignment="1">
      <alignment horizontal="right"/>
    </xf>
    <xf numFmtId="0" fontId="5" fillId="0" borderId="0" xfId="1" applyFont="1" applyAlignment="1">
      <alignment wrapText="1"/>
    </xf>
    <xf numFmtId="1" fontId="2" fillId="0" borderId="0" xfId="1" applyNumberFormat="1" applyFont="1"/>
    <xf numFmtId="2" fontId="5" fillId="0" borderId="0" xfId="1" applyNumberFormat="1" applyFont="1" applyAlignment="1">
      <alignment wrapText="1"/>
    </xf>
    <xf numFmtId="166" fontId="2" fillId="0" borderId="0" xfId="1" applyNumberFormat="1" applyFont="1"/>
    <xf numFmtId="164" fontId="5" fillId="0" borderId="0" xfId="1" applyNumberFormat="1" applyFont="1" applyFill="1"/>
    <xf numFmtId="1" fontId="2" fillId="0" borderId="0" xfId="1" applyNumberFormat="1" applyFont="1" applyAlignment="1">
      <alignment wrapText="1"/>
    </xf>
    <xf numFmtId="0" fontId="1" fillId="0" borderId="0" xfId="1"/>
    <xf numFmtId="0" fontId="2" fillId="0" borderId="0" xfId="1" applyFont="1"/>
    <xf numFmtId="164" fontId="1" fillId="0" borderId="0" xfId="1" applyNumberFormat="1"/>
    <xf numFmtId="0" fontId="2" fillId="0" borderId="0" xfId="1" applyFont="1" applyAlignment="1">
      <alignment wrapText="1"/>
    </xf>
    <xf numFmtId="165" fontId="5" fillId="0" borderId="0" xfId="1" applyNumberFormat="1" applyFont="1" applyFill="1" applyAlignment="1">
      <alignment horizontal="right"/>
    </xf>
    <xf numFmtId="164" fontId="2" fillId="0" borderId="0" xfId="1" applyNumberFormat="1" applyFont="1"/>
    <xf numFmtId="2" fontId="5" fillId="0" borderId="0" xfId="1" applyNumberFormat="1" applyFont="1" applyFill="1" applyAlignment="1">
      <alignment horizontal="right"/>
    </xf>
    <xf numFmtId="1" fontId="5" fillId="0" borderId="0" xfId="1" applyNumberFormat="1" applyFont="1" applyFill="1" applyAlignment="1">
      <alignment horizontal="right"/>
    </xf>
    <xf numFmtId="165" fontId="2" fillId="0" borderId="0" xfId="1" applyNumberFormat="1" applyFont="1"/>
    <xf numFmtId="2" fontId="2" fillId="0" borderId="0" xfId="1" applyNumberFormat="1" applyFont="1"/>
    <xf numFmtId="164" fontId="2" fillId="0" borderId="0" xfId="1" applyNumberFormat="1" applyFont="1" applyAlignment="1">
      <alignment wrapText="1"/>
    </xf>
    <xf numFmtId="0" fontId="6" fillId="0" borderId="0" xfId="1" applyFont="1" applyAlignment="1">
      <alignment wrapText="1"/>
    </xf>
    <xf numFmtId="0" fontId="5" fillId="0" borderId="0" xfId="1" applyFont="1" applyFill="1" applyAlignment="1">
      <alignment horizontal="right"/>
    </xf>
    <xf numFmtId="0" fontId="5" fillId="0" borderId="0" xfId="1" applyFont="1" applyAlignment="1">
      <alignment wrapText="1"/>
    </xf>
    <xf numFmtId="1" fontId="2" fillId="0" borderId="0" xfId="1" applyNumberFormat="1" applyFont="1"/>
    <xf numFmtId="2" fontId="5" fillId="0" borderId="0" xfId="1" applyNumberFormat="1" applyFont="1" applyAlignment="1">
      <alignment wrapText="1"/>
    </xf>
    <xf numFmtId="166" fontId="2" fillId="0" borderId="0" xfId="1" applyNumberFormat="1" applyFont="1"/>
    <xf numFmtId="164" fontId="5" fillId="0" borderId="0" xfId="1" applyNumberFormat="1" applyFont="1" applyFill="1"/>
    <xf numFmtId="1" fontId="2" fillId="0" borderId="0" xfId="1" applyNumberFormat="1" applyFont="1" applyAlignment="1">
      <alignment wrapText="1"/>
    </xf>
    <xf numFmtId="0" fontId="1" fillId="0" borderId="0" xfId="1"/>
    <xf numFmtId="0" fontId="2" fillId="0" borderId="0" xfId="1" applyFont="1"/>
    <xf numFmtId="164" fontId="1" fillId="0" borderId="0" xfId="1" applyNumberFormat="1"/>
    <xf numFmtId="0" fontId="2" fillId="0" borderId="0" xfId="1" applyFont="1" applyAlignment="1">
      <alignment wrapText="1"/>
    </xf>
    <xf numFmtId="165" fontId="5" fillId="0" borderId="0" xfId="1" applyNumberFormat="1" applyFont="1" applyFill="1" applyAlignment="1">
      <alignment horizontal="right"/>
    </xf>
    <xf numFmtId="164" fontId="2" fillId="0" borderId="0" xfId="1" applyNumberFormat="1" applyFont="1"/>
    <xf numFmtId="2" fontId="5" fillId="0" borderId="0" xfId="1" applyNumberFormat="1" applyFont="1" applyFill="1" applyAlignment="1">
      <alignment horizontal="right"/>
    </xf>
    <xf numFmtId="1" fontId="5" fillId="0" borderId="0" xfId="1" applyNumberFormat="1" applyFont="1" applyFill="1" applyAlignment="1">
      <alignment horizontal="right"/>
    </xf>
    <xf numFmtId="165" fontId="2" fillId="0" borderId="0" xfId="1" applyNumberFormat="1" applyFont="1"/>
    <xf numFmtId="2" fontId="2" fillId="0" borderId="0" xfId="1" applyNumberFormat="1" applyFont="1"/>
    <xf numFmtId="164" fontId="2" fillId="0" borderId="0" xfId="1" applyNumberFormat="1" applyFont="1" applyAlignment="1">
      <alignment wrapText="1"/>
    </xf>
    <xf numFmtId="0" fontId="6" fillId="0" borderId="0" xfId="1" applyFont="1" applyAlignment="1">
      <alignment wrapText="1"/>
    </xf>
    <xf numFmtId="0" fontId="5" fillId="0" borderId="0" xfId="1" applyFont="1" applyFill="1" applyAlignment="1">
      <alignment horizontal="right"/>
    </xf>
    <xf numFmtId="0" fontId="5" fillId="0" borderId="0" xfId="1" applyFont="1" applyAlignment="1">
      <alignment wrapText="1"/>
    </xf>
    <xf numFmtId="1" fontId="2" fillId="0" borderId="0" xfId="1" applyNumberFormat="1" applyFont="1"/>
    <xf numFmtId="2" fontId="5" fillId="0" borderId="0" xfId="1" applyNumberFormat="1" applyFont="1" applyAlignment="1">
      <alignment wrapText="1"/>
    </xf>
    <xf numFmtId="166" fontId="2" fillId="0" borderId="0" xfId="1" applyNumberFormat="1" applyFont="1"/>
    <xf numFmtId="164" fontId="5" fillId="0" borderId="0" xfId="1" applyNumberFormat="1" applyFont="1" applyFill="1"/>
    <xf numFmtId="0" fontId="1" fillId="0" borderId="0" xfId="1"/>
    <xf numFmtId="0" fontId="2" fillId="0" borderId="0" xfId="1" applyFont="1"/>
    <xf numFmtId="164" fontId="1" fillId="0" borderId="0" xfId="1" applyNumberFormat="1"/>
    <xf numFmtId="0" fontId="2" fillId="0" borderId="0" xfId="1" applyFont="1" applyAlignment="1">
      <alignment wrapText="1"/>
    </xf>
    <xf numFmtId="165" fontId="5" fillId="0" borderId="0" xfId="1" applyNumberFormat="1" applyFont="1" applyFill="1" applyAlignment="1">
      <alignment horizontal="right"/>
    </xf>
    <xf numFmtId="164" fontId="2" fillId="0" borderId="0" xfId="1" applyNumberFormat="1" applyFont="1"/>
    <xf numFmtId="2" fontId="5" fillId="0" borderId="0" xfId="1" applyNumberFormat="1" applyFont="1" applyFill="1" applyAlignment="1">
      <alignment horizontal="right"/>
    </xf>
    <xf numFmtId="1" fontId="5" fillId="0" borderId="0" xfId="1" applyNumberFormat="1" applyFont="1" applyFill="1" applyAlignment="1">
      <alignment horizontal="right"/>
    </xf>
    <xf numFmtId="165" fontId="2" fillId="0" borderId="0" xfId="1" applyNumberFormat="1" applyFont="1"/>
    <xf numFmtId="2" fontId="2" fillId="0" borderId="0" xfId="1" applyNumberFormat="1" applyFont="1"/>
    <xf numFmtId="164" fontId="2" fillId="0" borderId="0" xfId="1" applyNumberFormat="1" applyFont="1" applyAlignment="1">
      <alignment wrapText="1"/>
    </xf>
    <xf numFmtId="0" fontId="6" fillId="0" borderId="0" xfId="1" applyFont="1" applyAlignment="1">
      <alignment wrapText="1"/>
    </xf>
    <xf numFmtId="0" fontId="5" fillId="0" borderId="0" xfId="1" applyFont="1" applyFill="1" applyAlignment="1">
      <alignment horizontal="right"/>
    </xf>
    <xf numFmtId="0" fontId="5" fillId="0" borderId="0" xfId="1" applyFont="1" applyAlignment="1">
      <alignment wrapText="1"/>
    </xf>
    <xf numFmtId="1" fontId="2" fillId="0" borderId="0" xfId="1" applyNumberFormat="1" applyFont="1"/>
    <xf numFmtId="2" fontId="5" fillId="0" borderId="0" xfId="1" applyNumberFormat="1" applyFont="1" applyAlignment="1">
      <alignment wrapText="1"/>
    </xf>
    <xf numFmtId="166" fontId="2" fillId="0" borderId="0" xfId="1" applyNumberFormat="1" applyFont="1"/>
    <xf numFmtId="164" fontId="5" fillId="0" borderId="0" xfId="1" applyNumberFormat="1" applyFont="1" applyFill="1"/>
    <xf numFmtId="1" fontId="2" fillId="0" borderId="0" xfId="1" applyNumberFormat="1" applyFont="1" applyAlignment="1">
      <alignment wrapText="1"/>
    </xf>
    <xf numFmtId="0" fontId="1" fillId="0" borderId="0" xfId="1"/>
    <xf numFmtId="0" fontId="2" fillId="0" borderId="0" xfId="1" applyFont="1"/>
    <xf numFmtId="164" fontId="1" fillId="0" borderId="0" xfId="1" applyNumberFormat="1"/>
    <xf numFmtId="0" fontId="2" fillId="0" borderId="0" xfId="1" applyFont="1" applyAlignment="1">
      <alignment wrapText="1"/>
    </xf>
    <xf numFmtId="165" fontId="5" fillId="0" borderId="0" xfId="1" applyNumberFormat="1" applyFont="1" applyFill="1" applyAlignment="1">
      <alignment horizontal="right"/>
    </xf>
    <xf numFmtId="164" fontId="2" fillId="0" borderId="0" xfId="1" applyNumberFormat="1" applyFont="1"/>
    <xf numFmtId="2" fontId="5" fillId="0" borderId="0" xfId="1" applyNumberFormat="1" applyFont="1" applyFill="1" applyAlignment="1">
      <alignment horizontal="right"/>
    </xf>
    <xf numFmtId="1" fontId="5" fillId="0" borderId="0" xfId="1" applyNumberFormat="1" applyFont="1" applyFill="1" applyAlignment="1">
      <alignment horizontal="right"/>
    </xf>
    <xf numFmtId="165" fontId="2" fillId="0" borderId="0" xfId="1" applyNumberFormat="1" applyFont="1"/>
    <xf numFmtId="2" fontId="2" fillId="0" borderId="0" xfId="1" applyNumberFormat="1" applyFont="1"/>
    <xf numFmtId="164" fontId="2" fillId="0" borderId="0" xfId="1" applyNumberFormat="1" applyFont="1" applyAlignment="1">
      <alignment wrapText="1"/>
    </xf>
    <xf numFmtId="0" fontId="6" fillId="0" borderId="0" xfId="1" applyFont="1" applyAlignment="1">
      <alignment wrapText="1"/>
    </xf>
    <xf numFmtId="0" fontId="5" fillId="0" borderId="0" xfId="1" applyFont="1" applyFill="1" applyAlignment="1">
      <alignment horizontal="right"/>
    </xf>
    <xf numFmtId="0" fontId="5" fillId="0" borderId="0" xfId="1" applyFont="1" applyAlignment="1">
      <alignment wrapText="1"/>
    </xf>
    <xf numFmtId="1" fontId="2" fillId="0" borderId="0" xfId="1" applyNumberFormat="1" applyFont="1"/>
    <xf numFmtId="2" fontId="5" fillId="0" borderId="0" xfId="1" applyNumberFormat="1" applyFont="1" applyAlignment="1">
      <alignment wrapText="1"/>
    </xf>
    <xf numFmtId="166" fontId="2" fillId="0" borderId="0" xfId="1" applyNumberFormat="1" applyFont="1"/>
    <xf numFmtId="164" fontId="5" fillId="0" borderId="0" xfId="1" applyNumberFormat="1" applyFont="1" applyFill="1"/>
    <xf numFmtId="1" fontId="2" fillId="0" borderId="0" xfId="1" applyNumberFormat="1" applyFont="1" applyAlignment="1">
      <alignment wrapText="1"/>
    </xf>
    <xf numFmtId="0" fontId="1" fillId="0" borderId="0" xfId="1"/>
    <xf numFmtId="0" fontId="2" fillId="0" borderId="0" xfId="1" applyFont="1"/>
    <xf numFmtId="164" fontId="1" fillId="0" borderId="0" xfId="1" applyNumberFormat="1"/>
    <xf numFmtId="0" fontId="2" fillId="0" borderId="0" xfId="1" applyFont="1" applyAlignment="1">
      <alignment wrapText="1"/>
    </xf>
    <xf numFmtId="165" fontId="5" fillId="0" borderId="0" xfId="1" applyNumberFormat="1" applyFont="1" applyFill="1" applyAlignment="1">
      <alignment horizontal="right"/>
    </xf>
    <xf numFmtId="164" fontId="2" fillId="0" borderId="0" xfId="1" applyNumberFormat="1" applyFont="1"/>
    <xf numFmtId="2" fontId="5" fillId="0" borderId="0" xfId="1" applyNumberFormat="1" applyFont="1" applyFill="1" applyAlignment="1">
      <alignment horizontal="right"/>
    </xf>
    <xf numFmtId="1" fontId="5" fillId="0" borderId="0" xfId="1" applyNumberFormat="1" applyFont="1" applyFill="1" applyAlignment="1">
      <alignment horizontal="right"/>
    </xf>
    <xf numFmtId="165" fontId="2" fillId="0" borderId="0" xfId="1" applyNumberFormat="1" applyFont="1"/>
    <xf numFmtId="2" fontId="2" fillId="0" borderId="0" xfId="1" applyNumberFormat="1" applyFont="1"/>
    <xf numFmtId="164" fontId="2" fillId="0" borderId="0" xfId="1" applyNumberFormat="1" applyFont="1" applyAlignment="1">
      <alignment wrapText="1"/>
    </xf>
    <xf numFmtId="0" fontId="6" fillId="0" borderId="0" xfId="1" applyFont="1" applyAlignment="1">
      <alignment wrapText="1"/>
    </xf>
    <xf numFmtId="0" fontId="5" fillId="0" borderId="0" xfId="1" applyFont="1" applyFill="1" applyAlignment="1">
      <alignment horizontal="right"/>
    </xf>
    <xf numFmtId="0" fontId="5" fillId="0" borderId="0" xfId="1" applyFont="1" applyAlignment="1">
      <alignment wrapText="1"/>
    </xf>
    <xf numFmtId="1" fontId="2" fillId="0" borderId="0" xfId="1" applyNumberFormat="1" applyFont="1"/>
    <xf numFmtId="2" fontId="5" fillId="0" borderId="0" xfId="1" applyNumberFormat="1" applyFont="1" applyAlignment="1">
      <alignment wrapText="1"/>
    </xf>
    <xf numFmtId="166" fontId="2" fillId="0" borderId="0" xfId="1" applyNumberFormat="1" applyFont="1"/>
    <xf numFmtId="164" fontId="5" fillId="0" borderId="0" xfId="1" applyNumberFormat="1" applyFont="1" applyFill="1"/>
    <xf numFmtId="1" fontId="2" fillId="0" borderId="0" xfId="1" applyNumberFormat="1" applyFont="1" applyAlignment="1">
      <alignment wrapText="1"/>
    </xf>
    <xf numFmtId="0" fontId="1" fillId="0" borderId="0" xfId="1"/>
    <xf numFmtId="0" fontId="2" fillId="0" borderId="0" xfId="1" applyFont="1"/>
    <xf numFmtId="164" fontId="1" fillId="0" borderId="0" xfId="1" applyNumberFormat="1"/>
    <xf numFmtId="0" fontId="2" fillId="0" borderId="0" xfId="1" applyFont="1" applyAlignment="1">
      <alignment wrapText="1"/>
    </xf>
    <xf numFmtId="165" fontId="5" fillId="0" borderId="0" xfId="1" applyNumberFormat="1" applyFont="1" applyFill="1" applyAlignment="1">
      <alignment horizontal="right"/>
    </xf>
    <xf numFmtId="164" fontId="2" fillId="0" borderId="0" xfId="1" applyNumberFormat="1" applyFont="1"/>
    <xf numFmtId="2" fontId="5" fillId="0" borderId="0" xfId="1" applyNumberFormat="1" applyFont="1" applyFill="1" applyAlignment="1">
      <alignment horizontal="right"/>
    </xf>
    <xf numFmtId="1" fontId="5" fillId="0" borderId="0" xfId="1" applyNumberFormat="1" applyFont="1" applyFill="1" applyAlignment="1">
      <alignment horizontal="right"/>
    </xf>
    <xf numFmtId="165" fontId="2" fillId="0" borderId="0" xfId="1" applyNumberFormat="1" applyFont="1"/>
    <xf numFmtId="2" fontId="2" fillId="0" borderId="0" xfId="1" applyNumberFormat="1" applyFont="1"/>
    <xf numFmtId="164" fontId="2" fillId="0" borderId="0" xfId="1" applyNumberFormat="1" applyFont="1" applyAlignment="1">
      <alignment wrapText="1"/>
    </xf>
    <xf numFmtId="0" fontId="6" fillId="0" borderId="0" xfId="1" applyFont="1" applyAlignment="1">
      <alignment wrapText="1"/>
    </xf>
    <xf numFmtId="0" fontId="5" fillId="0" borderId="0" xfId="1" applyFont="1" applyFill="1" applyAlignment="1">
      <alignment horizontal="right"/>
    </xf>
    <xf numFmtId="0" fontId="5" fillId="0" borderId="0" xfId="1" applyFont="1" applyAlignment="1">
      <alignment wrapText="1"/>
    </xf>
    <xf numFmtId="1" fontId="2" fillId="0" borderId="0" xfId="1" applyNumberFormat="1" applyFont="1"/>
    <xf numFmtId="2" fontId="5" fillId="0" borderId="0" xfId="1" applyNumberFormat="1" applyFont="1" applyAlignment="1">
      <alignment wrapText="1"/>
    </xf>
    <xf numFmtId="166" fontId="2" fillId="0" borderId="0" xfId="1" applyNumberFormat="1" applyFont="1"/>
    <xf numFmtId="164" fontId="5" fillId="0" borderId="0" xfId="1" applyNumberFormat="1" applyFont="1" applyFill="1"/>
    <xf numFmtId="1" fontId="2" fillId="0" borderId="0" xfId="1" applyNumberFormat="1" applyFont="1" applyAlignment="1">
      <alignment wrapText="1"/>
    </xf>
    <xf numFmtId="0" fontId="1" fillId="0" borderId="0" xfId="1"/>
    <xf numFmtId="0" fontId="2" fillId="0" borderId="0" xfId="1" applyFont="1"/>
    <xf numFmtId="164" fontId="1" fillId="0" borderId="0" xfId="1" applyNumberFormat="1"/>
    <xf numFmtId="0" fontId="2" fillId="0" borderId="0" xfId="1" applyFont="1" applyAlignment="1">
      <alignment wrapText="1"/>
    </xf>
    <xf numFmtId="165" fontId="5" fillId="0" borderId="0" xfId="1" applyNumberFormat="1" applyFont="1" applyFill="1" applyAlignment="1">
      <alignment horizontal="right"/>
    </xf>
    <xf numFmtId="164" fontId="2" fillId="0" borderId="0" xfId="1" applyNumberFormat="1" applyFont="1"/>
    <xf numFmtId="2" fontId="5" fillId="0" borderId="0" xfId="1" applyNumberFormat="1" applyFont="1" applyFill="1" applyAlignment="1">
      <alignment horizontal="right"/>
    </xf>
    <xf numFmtId="1" fontId="5" fillId="0" borderId="0" xfId="1" applyNumberFormat="1" applyFont="1" applyFill="1" applyAlignment="1">
      <alignment horizontal="right"/>
    </xf>
    <xf numFmtId="165" fontId="2" fillId="0" borderId="0" xfId="1" applyNumberFormat="1" applyFont="1"/>
    <xf numFmtId="2" fontId="2" fillId="0" borderId="0" xfId="1" applyNumberFormat="1" applyFont="1"/>
    <xf numFmtId="164" fontId="2" fillId="0" borderId="0" xfId="1" applyNumberFormat="1" applyFont="1" applyAlignment="1">
      <alignment wrapText="1"/>
    </xf>
    <xf numFmtId="0" fontId="6" fillId="0" borderId="0" xfId="1" applyFont="1" applyAlignment="1">
      <alignment wrapText="1"/>
    </xf>
    <xf numFmtId="0" fontId="5" fillId="0" borderId="0" xfId="1" applyFont="1" applyFill="1" applyAlignment="1">
      <alignment horizontal="right"/>
    </xf>
    <xf numFmtId="0" fontId="5" fillId="0" borderId="0" xfId="1" applyFont="1" applyAlignment="1">
      <alignment wrapText="1"/>
    </xf>
    <xf numFmtId="1" fontId="2" fillId="0" borderId="0" xfId="1" applyNumberFormat="1" applyFont="1"/>
    <xf numFmtId="2" fontId="5" fillId="0" borderId="0" xfId="1" applyNumberFormat="1" applyFont="1" applyAlignment="1">
      <alignment wrapText="1"/>
    </xf>
    <xf numFmtId="166" fontId="2" fillId="0" borderId="0" xfId="1" applyNumberFormat="1" applyFont="1"/>
    <xf numFmtId="164" fontId="5" fillId="0" borderId="0" xfId="1" applyNumberFormat="1" applyFont="1" applyFill="1"/>
    <xf numFmtId="1" fontId="2" fillId="0" borderId="0" xfId="1" applyNumberFormat="1" applyFont="1" applyAlignment="1">
      <alignment wrapText="1"/>
    </xf>
    <xf numFmtId="0" fontId="1" fillId="0" borderId="0" xfId="1"/>
    <xf numFmtId="0" fontId="2" fillId="0" borderId="0" xfId="1" applyFont="1"/>
    <xf numFmtId="164" fontId="1" fillId="0" borderId="0" xfId="1" applyNumberFormat="1"/>
    <xf numFmtId="0" fontId="2" fillId="0" borderId="0" xfId="1" applyFont="1" applyAlignment="1">
      <alignment wrapText="1"/>
    </xf>
    <xf numFmtId="165" fontId="5" fillId="0" borderId="0" xfId="1" applyNumberFormat="1" applyFont="1" applyFill="1" applyAlignment="1">
      <alignment horizontal="right"/>
    </xf>
    <xf numFmtId="164" fontId="2" fillId="0" borderId="0" xfId="1" applyNumberFormat="1" applyFont="1"/>
    <xf numFmtId="2" fontId="5" fillId="0" borderId="0" xfId="1" applyNumberFormat="1" applyFont="1" applyFill="1" applyAlignment="1">
      <alignment horizontal="right"/>
    </xf>
    <xf numFmtId="1" fontId="5" fillId="0" borderId="0" xfId="1" applyNumberFormat="1" applyFont="1" applyFill="1" applyAlignment="1">
      <alignment horizontal="right"/>
    </xf>
    <xf numFmtId="165" fontId="2" fillId="0" borderId="0" xfId="1" applyNumberFormat="1" applyFont="1"/>
    <xf numFmtId="2" fontId="2" fillId="0" borderId="0" xfId="1" applyNumberFormat="1" applyFont="1"/>
    <xf numFmtId="164" fontId="2" fillId="0" borderId="0" xfId="1" applyNumberFormat="1" applyFont="1" applyAlignment="1">
      <alignment wrapText="1"/>
    </xf>
    <xf numFmtId="0" fontId="6" fillId="0" borderId="0" xfId="1" applyFont="1" applyAlignment="1">
      <alignment wrapText="1"/>
    </xf>
    <xf numFmtId="0" fontId="5" fillId="0" borderId="0" xfId="1" applyFont="1" applyFill="1" applyAlignment="1">
      <alignment horizontal="right"/>
    </xf>
    <xf numFmtId="0" fontId="5" fillId="0" borderId="0" xfId="1" applyFont="1" applyAlignment="1">
      <alignment wrapText="1"/>
    </xf>
    <xf numFmtId="1" fontId="2" fillId="0" borderId="0" xfId="1" applyNumberFormat="1" applyFont="1"/>
    <xf numFmtId="2" fontId="5" fillId="0" borderId="0" xfId="1" applyNumberFormat="1" applyFont="1" applyAlignment="1">
      <alignment wrapText="1"/>
    </xf>
    <xf numFmtId="166" fontId="2" fillId="0" borderId="0" xfId="1" applyNumberFormat="1" applyFont="1"/>
    <xf numFmtId="164" fontId="5" fillId="0" borderId="0" xfId="1" applyNumberFormat="1" applyFont="1" applyFill="1"/>
    <xf numFmtId="1" fontId="2" fillId="0" borderId="0" xfId="1" applyNumberFormat="1" applyFont="1" applyAlignment="1">
      <alignment wrapText="1"/>
    </xf>
    <xf numFmtId="10" fontId="2" fillId="0" borderId="0" xfId="1" applyNumberFormat="1" applyFont="1" applyAlignment="1">
      <alignment wrapText="1"/>
    </xf>
    <xf numFmtId="0" fontId="1" fillId="0" borderId="0" xfId="1"/>
    <xf numFmtId="0" fontId="2" fillId="0" borderId="0" xfId="1" applyFont="1"/>
    <xf numFmtId="164" fontId="1" fillId="0" borderId="0" xfId="1" applyNumberFormat="1"/>
    <xf numFmtId="0" fontId="2" fillId="0" borderId="0" xfId="1" applyFont="1" applyAlignment="1">
      <alignment wrapText="1"/>
    </xf>
    <xf numFmtId="165" fontId="5" fillId="0" borderId="0" xfId="1" applyNumberFormat="1" applyFont="1" applyFill="1" applyAlignment="1">
      <alignment horizontal="right"/>
    </xf>
    <xf numFmtId="164" fontId="2" fillId="0" borderId="0" xfId="1" applyNumberFormat="1" applyFont="1"/>
    <xf numFmtId="2" fontId="5" fillId="0" borderId="0" xfId="1" applyNumberFormat="1" applyFont="1" applyFill="1" applyAlignment="1">
      <alignment horizontal="right"/>
    </xf>
    <xf numFmtId="1" fontId="5" fillId="0" borderId="0" xfId="1" applyNumberFormat="1" applyFont="1" applyFill="1" applyAlignment="1">
      <alignment horizontal="right"/>
    </xf>
    <xf numFmtId="165" fontId="2" fillId="0" borderId="0" xfId="1" applyNumberFormat="1" applyFont="1"/>
    <xf numFmtId="2" fontId="2" fillId="0" borderId="0" xfId="1" applyNumberFormat="1" applyFont="1"/>
    <xf numFmtId="164" fontId="2" fillId="0" borderId="0" xfId="1" applyNumberFormat="1" applyFont="1" applyAlignment="1">
      <alignment wrapText="1"/>
    </xf>
    <xf numFmtId="0" fontId="6" fillId="0" borderId="0" xfId="1" applyFont="1" applyAlignment="1">
      <alignment wrapText="1"/>
    </xf>
    <xf numFmtId="0" fontId="5" fillId="0" borderId="0" xfId="1" applyFont="1" applyFill="1" applyAlignment="1">
      <alignment horizontal="right"/>
    </xf>
    <xf numFmtId="0" fontId="5" fillId="0" borderId="0" xfId="1" applyFont="1" applyAlignment="1">
      <alignment wrapText="1"/>
    </xf>
    <xf numFmtId="1" fontId="2" fillId="0" borderId="0" xfId="1" applyNumberFormat="1" applyFont="1"/>
    <xf numFmtId="2" fontId="5" fillId="0" borderId="0" xfId="1" applyNumberFormat="1" applyFont="1" applyAlignment="1">
      <alignment wrapText="1"/>
    </xf>
    <xf numFmtId="166" fontId="2" fillId="0" borderId="0" xfId="1" applyNumberFormat="1" applyFont="1"/>
    <xf numFmtId="164" fontId="5" fillId="0" borderId="0" xfId="1" applyNumberFormat="1" applyFont="1" applyFill="1"/>
    <xf numFmtId="1" fontId="2" fillId="0" borderId="0" xfId="1" applyNumberFormat="1" applyFont="1" applyAlignment="1">
      <alignment wrapText="1"/>
    </xf>
    <xf numFmtId="0" fontId="1" fillId="0" borderId="0" xfId="1"/>
    <xf numFmtId="0" fontId="2" fillId="0" borderId="0" xfId="1" applyFont="1"/>
    <xf numFmtId="164" fontId="1" fillId="0" borderId="0" xfId="1" applyNumberFormat="1"/>
    <xf numFmtId="0" fontId="2" fillId="0" borderId="0" xfId="1" applyFont="1" applyAlignment="1">
      <alignment wrapText="1"/>
    </xf>
    <xf numFmtId="165" fontId="5" fillId="0" borderId="0" xfId="1" applyNumberFormat="1" applyFont="1" applyFill="1" applyAlignment="1">
      <alignment horizontal="right"/>
    </xf>
    <xf numFmtId="164" fontId="2" fillId="0" borderId="0" xfId="1" applyNumberFormat="1" applyFont="1"/>
    <xf numFmtId="2" fontId="5" fillId="0" borderId="0" xfId="1" applyNumberFormat="1" applyFont="1" applyFill="1" applyAlignment="1">
      <alignment horizontal="right"/>
    </xf>
    <xf numFmtId="1" fontId="5" fillId="0" borderId="0" xfId="1" applyNumberFormat="1" applyFont="1" applyFill="1" applyAlignment="1">
      <alignment horizontal="right"/>
    </xf>
    <xf numFmtId="165" fontId="2" fillId="0" borderId="0" xfId="1" applyNumberFormat="1" applyFont="1"/>
    <xf numFmtId="2" fontId="2" fillId="0" borderId="0" xfId="1" applyNumberFormat="1" applyFont="1"/>
    <xf numFmtId="164" fontId="2" fillId="0" borderId="0" xfId="1" applyNumberFormat="1" applyFont="1" applyAlignment="1">
      <alignment wrapText="1"/>
    </xf>
    <xf numFmtId="0" fontId="6" fillId="0" borderId="0" xfId="1" applyFont="1" applyAlignment="1">
      <alignment wrapText="1"/>
    </xf>
    <xf numFmtId="0" fontId="5" fillId="0" borderId="0" xfId="1" applyFont="1" applyFill="1" applyAlignment="1">
      <alignment horizontal="right"/>
    </xf>
    <xf numFmtId="0" fontId="5" fillId="0" borderId="0" xfId="1" applyFont="1" applyAlignment="1">
      <alignment wrapText="1"/>
    </xf>
    <xf numFmtId="1" fontId="2" fillId="0" borderId="0" xfId="1" applyNumberFormat="1" applyFont="1"/>
    <xf numFmtId="2" fontId="5" fillId="0" borderId="0" xfId="1" applyNumberFormat="1" applyFont="1" applyAlignment="1">
      <alignment wrapText="1"/>
    </xf>
    <xf numFmtId="166" fontId="2" fillId="0" borderId="0" xfId="1" applyNumberFormat="1" applyFont="1"/>
    <xf numFmtId="164" fontId="5" fillId="0" borderId="0" xfId="1" applyNumberFormat="1" applyFont="1" applyFill="1"/>
    <xf numFmtId="0" fontId="1" fillId="0" borderId="0" xfId="1"/>
    <xf numFmtId="0" fontId="2" fillId="0" borderId="0" xfId="1" applyFont="1"/>
    <xf numFmtId="164" fontId="1" fillId="0" borderId="0" xfId="1" applyNumberFormat="1"/>
    <xf numFmtId="0" fontId="2" fillId="0" borderId="0" xfId="1" applyFont="1" applyAlignment="1">
      <alignment wrapText="1"/>
    </xf>
    <xf numFmtId="165" fontId="5" fillId="0" borderId="0" xfId="1" applyNumberFormat="1" applyFont="1" applyFill="1" applyAlignment="1">
      <alignment horizontal="right"/>
    </xf>
    <xf numFmtId="164" fontId="2" fillId="0" borderId="0" xfId="1" applyNumberFormat="1" applyFont="1"/>
    <xf numFmtId="2" fontId="5" fillId="0" borderId="0" xfId="1" applyNumberFormat="1" applyFont="1" applyFill="1" applyAlignment="1">
      <alignment horizontal="right"/>
    </xf>
    <xf numFmtId="1" fontId="5" fillId="0" borderId="0" xfId="1" applyNumberFormat="1" applyFont="1" applyFill="1" applyAlignment="1">
      <alignment horizontal="right"/>
    </xf>
    <xf numFmtId="165" fontId="2" fillId="0" borderId="0" xfId="1" applyNumberFormat="1" applyFont="1"/>
    <xf numFmtId="2" fontId="2" fillId="0" borderId="0" xfId="1" applyNumberFormat="1" applyFont="1"/>
    <xf numFmtId="164" fontId="2" fillId="0" borderId="0" xfId="1" applyNumberFormat="1" applyFont="1" applyAlignment="1">
      <alignment wrapText="1"/>
    </xf>
    <xf numFmtId="0" fontId="6" fillId="0" borderId="0" xfId="1" applyFont="1" applyAlignment="1">
      <alignment wrapText="1"/>
    </xf>
    <xf numFmtId="0" fontId="5" fillId="0" borderId="0" xfId="1" applyFont="1" applyFill="1" applyAlignment="1">
      <alignment horizontal="right"/>
    </xf>
    <xf numFmtId="0" fontId="5" fillId="0" borderId="0" xfId="1" applyFont="1" applyAlignment="1">
      <alignment wrapText="1"/>
    </xf>
    <xf numFmtId="1" fontId="2" fillId="0" borderId="0" xfId="1" applyNumberFormat="1" applyFont="1"/>
    <xf numFmtId="2" fontId="5" fillId="0" borderId="0" xfId="1" applyNumberFormat="1" applyFont="1" applyAlignment="1">
      <alignment wrapText="1"/>
    </xf>
    <xf numFmtId="166" fontId="2" fillId="0" borderId="0" xfId="1" applyNumberFormat="1" applyFont="1"/>
    <xf numFmtId="164" fontId="5" fillId="0" borderId="0" xfId="1" applyNumberFormat="1" applyFont="1" applyFill="1"/>
    <xf numFmtId="1" fontId="2" fillId="0" borderId="0" xfId="1" applyNumberFormat="1" applyFont="1" applyAlignment="1">
      <alignment wrapText="1"/>
    </xf>
    <xf numFmtId="0" fontId="1" fillId="0" borderId="0" xfId="1"/>
    <xf numFmtId="0" fontId="2" fillId="0" borderId="0" xfId="1" applyFont="1"/>
    <xf numFmtId="164" fontId="1" fillId="0" borderId="0" xfId="1" applyNumberFormat="1"/>
    <xf numFmtId="0" fontId="2" fillId="0" borderId="0" xfId="1" applyFont="1" applyAlignment="1">
      <alignment wrapText="1"/>
    </xf>
    <xf numFmtId="165" fontId="5" fillId="0" borderId="0" xfId="1" applyNumberFormat="1" applyFont="1" applyFill="1" applyAlignment="1">
      <alignment horizontal="right"/>
    </xf>
    <xf numFmtId="164" fontId="2" fillId="0" borderId="0" xfId="1" applyNumberFormat="1" applyFont="1"/>
    <xf numFmtId="2" fontId="5" fillId="0" borderId="0" xfId="1" applyNumberFormat="1" applyFont="1" applyFill="1" applyAlignment="1">
      <alignment horizontal="right"/>
    </xf>
    <xf numFmtId="1" fontId="5" fillId="0" borderId="0" xfId="1" applyNumberFormat="1" applyFont="1" applyFill="1" applyAlignment="1">
      <alignment horizontal="right"/>
    </xf>
    <xf numFmtId="165" fontId="2" fillId="0" borderId="0" xfId="1" applyNumberFormat="1" applyFont="1"/>
    <xf numFmtId="2" fontId="2" fillId="0" borderId="0" xfId="1" applyNumberFormat="1" applyFont="1"/>
    <xf numFmtId="164" fontId="2" fillId="0" borderId="0" xfId="1" applyNumberFormat="1" applyFont="1" applyAlignment="1">
      <alignment wrapText="1"/>
    </xf>
    <xf numFmtId="0" fontId="6" fillId="0" borderId="0" xfId="1" applyFont="1" applyAlignment="1">
      <alignment wrapText="1"/>
    </xf>
    <xf numFmtId="0" fontId="5" fillId="0" borderId="0" xfId="1" applyFont="1" applyFill="1" applyAlignment="1">
      <alignment horizontal="right"/>
    </xf>
    <xf numFmtId="0" fontId="5" fillId="0" borderId="0" xfId="1" applyFont="1" applyAlignment="1">
      <alignment wrapText="1"/>
    </xf>
    <xf numFmtId="1" fontId="2" fillId="0" borderId="0" xfId="1" applyNumberFormat="1" applyFont="1"/>
    <xf numFmtId="2" fontId="5" fillId="0" borderId="0" xfId="1" applyNumberFormat="1" applyFont="1" applyAlignment="1">
      <alignment wrapText="1"/>
    </xf>
    <xf numFmtId="166" fontId="2" fillId="0" borderId="0" xfId="1" applyNumberFormat="1" applyFont="1"/>
    <xf numFmtId="164" fontId="5" fillId="0" borderId="0" xfId="1" applyNumberFormat="1" applyFont="1" applyFill="1"/>
    <xf numFmtId="1" fontId="2" fillId="0" borderId="0" xfId="1" applyNumberFormat="1" applyFont="1" applyAlignment="1">
      <alignment wrapText="1"/>
    </xf>
    <xf numFmtId="0" fontId="1" fillId="0" borderId="0" xfId="1"/>
    <xf numFmtId="0" fontId="2" fillId="0" borderId="0" xfId="1" applyFont="1"/>
    <xf numFmtId="164" fontId="1" fillId="0" borderId="0" xfId="1" applyNumberFormat="1"/>
    <xf numFmtId="0" fontId="2" fillId="0" borderId="0" xfId="1" applyFont="1" applyAlignment="1">
      <alignment wrapText="1"/>
    </xf>
    <xf numFmtId="165" fontId="5" fillId="0" borderId="0" xfId="1" applyNumberFormat="1" applyFont="1" applyFill="1" applyAlignment="1">
      <alignment horizontal="right"/>
    </xf>
    <xf numFmtId="164" fontId="2" fillId="0" borderId="0" xfId="1" applyNumberFormat="1" applyFont="1"/>
    <xf numFmtId="2" fontId="5" fillId="0" borderId="0" xfId="1" applyNumberFormat="1" applyFont="1" applyFill="1" applyAlignment="1">
      <alignment horizontal="right"/>
    </xf>
    <xf numFmtId="1" fontId="5" fillId="0" borderId="0" xfId="1" applyNumberFormat="1" applyFont="1" applyFill="1" applyAlignment="1">
      <alignment horizontal="right"/>
    </xf>
    <xf numFmtId="165" fontId="2" fillId="0" borderId="0" xfId="1" applyNumberFormat="1" applyFont="1"/>
    <xf numFmtId="2" fontId="2" fillId="0" borderId="0" xfId="1" applyNumberFormat="1" applyFont="1"/>
    <xf numFmtId="164" fontId="2" fillId="0" borderId="0" xfId="1" applyNumberFormat="1" applyFont="1" applyAlignment="1">
      <alignment wrapText="1"/>
    </xf>
    <xf numFmtId="0" fontId="6" fillId="0" borderId="0" xfId="1" applyFont="1" applyAlignment="1">
      <alignment wrapText="1"/>
    </xf>
    <xf numFmtId="0" fontId="5" fillId="0" borderId="0" xfId="1" applyFont="1" applyFill="1" applyAlignment="1">
      <alignment horizontal="right"/>
    </xf>
    <xf numFmtId="0" fontId="5" fillId="0" borderId="0" xfId="1" applyFont="1" applyAlignment="1">
      <alignment wrapText="1"/>
    </xf>
    <xf numFmtId="1" fontId="2" fillId="0" borderId="0" xfId="1" applyNumberFormat="1" applyFont="1"/>
    <xf numFmtId="2" fontId="5" fillId="0" borderId="0" xfId="1" applyNumberFormat="1" applyFont="1" applyAlignment="1">
      <alignment wrapText="1"/>
    </xf>
    <xf numFmtId="166" fontId="2" fillId="0" borderId="0" xfId="1" applyNumberFormat="1" applyFont="1"/>
    <xf numFmtId="164" fontId="5" fillId="0" borderId="0" xfId="1" applyNumberFormat="1" applyFont="1" applyFill="1"/>
    <xf numFmtId="1" fontId="2" fillId="0" borderId="0" xfId="1" applyNumberFormat="1" applyFont="1" applyAlignment="1">
      <alignment wrapText="1"/>
    </xf>
    <xf numFmtId="0" fontId="1" fillId="0" borderId="0" xfId="1"/>
    <xf numFmtId="0" fontId="2" fillId="0" borderId="0" xfId="1" applyFont="1"/>
    <xf numFmtId="164" fontId="1" fillId="0" borderId="0" xfId="1" applyNumberFormat="1"/>
    <xf numFmtId="0" fontId="2" fillId="0" borderId="0" xfId="1" applyFont="1" applyAlignment="1">
      <alignment wrapText="1"/>
    </xf>
    <xf numFmtId="165" fontId="5" fillId="0" borderId="0" xfId="1" applyNumberFormat="1" applyFont="1" applyFill="1" applyAlignment="1">
      <alignment horizontal="right"/>
    </xf>
    <xf numFmtId="164" fontId="2" fillId="0" borderId="0" xfId="1" applyNumberFormat="1" applyFont="1"/>
    <xf numFmtId="2" fontId="5" fillId="0" borderId="0" xfId="1" applyNumberFormat="1" applyFont="1" applyFill="1" applyAlignment="1">
      <alignment horizontal="right"/>
    </xf>
    <xf numFmtId="1" fontId="5" fillId="0" borderId="0" xfId="1" applyNumberFormat="1" applyFont="1" applyFill="1" applyAlignment="1">
      <alignment horizontal="right"/>
    </xf>
    <xf numFmtId="165" fontId="2" fillId="0" borderId="0" xfId="1" applyNumberFormat="1" applyFont="1"/>
    <xf numFmtId="2" fontId="2" fillId="0" borderId="0" xfId="1" applyNumberFormat="1" applyFont="1"/>
    <xf numFmtId="164" fontId="2" fillId="0" borderId="0" xfId="1" applyNumberFormat="1" applyFont="1" applyAlignment="1">
      <alignment wrapText="1"/>
    </xf>
    <xf numFmtId="0" fontId="6" fillId="0" borderId="0" xfId="1" applyFont="1" applyAlignment="1">
      <alignment wrapText="1"/>
    </xf>
    <xf numFmtId="0" fontId="5" fillId="0" borderId="0" xfId="1" applyFont="1" applyFill="1" applyAlignment="1">
      <alignment horizontal="right"/>
    </xf>
    <xf numFmtId="0" fontId="5" fillId="0" borderId="0" xfId="1" applyFont="1" applyAlignment="1">
      <alignment wrapText="1"/>
    </xf>
    <xf numFmtId="1" fontId="2" fillId="0" borderId="0" xfId="1" applyNumberFormat="1" applyFont="1"/>
    <xf numFmtId="2" fontId="5" fillId="0" borderId="0" xfId="1" applyNumberFormat="1" applyFont="1" applyAlignment="1">
      <alignment wrapText="1"/>
    </xf>
    <xf numFmtId="166" fontId="2" fillId="0" borderId="0" xfId="1" applyNumberFormat="1" applyFont="1"/>
    <xf numFmtId="164" fontId="5" fillId="0" borderId="0" xfId="1" applyNumberFormat="1" applyFont="1" applyFill="1"/>
    <xf numFmtId="0" fontId="1" fillId="0" borderId="0" xfId="1"/>
    <xf numFmtId="0" fontId="2" fillId="0" borderId="0" xfId="1" applyFont="1"/>
    <xf numFmtId="164" fontId="1" fillId="0" borderId="0" xfId="1" applyNumberFormat="1"/>
    <xf numFmtId="0" fontId="2" fillId="0" borderId="0" xfId="1" applyFont="1" applyAlignment="1">
      <alignment wrapText="1"/>
    </xf>
    <xf numFmtId="165" fontId="5" fillId="0" borderId="0" xfId="1" applyNumberFormat="1" applyFont="1" applyFill="1" applyAlignment="1">
      <alignment horizontal="right"/>
    </xf>
    <xf numFmtId="164" fontId="2" fillId="0" borderId="0" xfId="1" applyNumberFormat="1" applyFont="1"/>
    <xf numFmtId="2" fontId="5" fillId="0" borderId="0" xfId="1" applyNumberFormat="1" applyFont="1" applyFill="1" applyAlignment="1">
      <alignment horizontal="right"/>
    </xf>
    <xf numFmtId="1" fontId="5" fillId="0" borderId="0" xfId="1" applyNumberFormat="1" applyFont="1" applyFill="1" applyAlignment="1">
      <alignment horizontal="right"/>
    </xf>
    <xf numFmtId="165" fontId="2" fillId="0" borderId="0" xfId="1" applyNumberFormat="1" applyFont="1"/>
    <xf numFmtId="2" fontId="2" fillId="0" borderId="0" xfId="1" applyNumberFormat="1" applyFont="1"/>
    <xf numFmtId="164" fontId="2" fillId="0" borderId="0" xfId="1" applyNumberFormat="1" applyFont="1" applyAlignment="1">
      <alignment wrapText="1"/>
    </xf>
    <xf numFmtId="0" fontId="6" fillId="0" borderId="0" xfId="1" applyFont="1" applyAlignment="1">
      <alignment wrapText="1"/>
    </xf>
    <xf numFmtId="0" fontId="5" fillId="0" borderId="0" xfId="1" applyFont="1" applyFill="1" applyAlignment="1">
      <alignment horizontal="right"/>
    </xf>
    <xf numFmtId="0" fontId="5" fillId="0" borderId="0" xfId="1" applyFont="1" applyAlignment="1">
      <alignment wrapText="1"/>
    </xf>
    <xf numFmtId="1" fontId="2" fillId="0" borderId="0" xfId="1" applyNumberFormat="1" applyFont="1"/>
    <xf numFmtId="2" fontId="5" fillId="0" borderId="0" xfId="1" applyNumberFormat="1" applyFont="1" applyAlignment="1">
      <alignment wrapText="1"/>
    </xf>
    <xf numFmtId="166" fontId="2" fillId="0" borderId="0" xfId="1" applyNumberFormat="1" applyFont="1"/>
    <xf numFmtId="164" fontId="5" fillId="0" borderId="0" xfId="1" applyNumberFormat="1" applyFont="1" applyFill="1"/>
    <xf numFmtId="1" fontId="2" fillId="0" borderId="0" xfId="1" applyNumberFormat="1" applyFont="1" applyAlignment="1">
      <alignment wrapText="1"/>
    </xf>
    <xf numFmtId="0" fontId="1" fillId="0" borderId="0" xfId="1"/>
    <xf numFmtId="0" fontId="2" fillId="0" borderId="0" xfId="1" applyFont="1"/>
    <xf numFmtId="164" fontId="1" fillId="0" borderId="0" xfId="1" applyNumberFormat="1"/>
    <xf numFmtId="0" fontId="2" fillId="0" borderId="0" xfId="1" applyFont="1" applyAlignment="1">
      <alignment wrapText="1"/>
    </xf>
    <xf numFmtId="165" fontId="5" fillId="0" borderId="0" xfId="1" applyNumberFormat="1" applyFont="1" applyFill="1" applyAlignment="1">
      <alignment horizontal="right"/>
    </xf>
    <xf numFmtId="164" fontId="2" fillId="0" borderId="0" xfId="1" applyNumberFormat="1" applyFont="1"/>
    <xf numFmtId="2" fontId="5" fillId="0" borderId="0" xfId="1" applyNumberFormat="1" applyFont="1" applyFill="1" applyAlignment="1">
      <alignment horizontal="right"/>
    </xf>
    <xf numFmtId="1" fontId="5" fillId="0" borderId="0" xfId="1" applyNumberFormat="1" applyFont="1" applyFill="1" applyAlignment="1">
      <alignment horizontal="right"/>
    </xf>
    <xf numFmtId="165" fontId="2" fillId="0" borderId="0" xfId="1" applyNumberFormat="1" applyFont="1"/>
    <xf numFmtId="2" fontId="2" fillId="0" borderId="0" xfId="1" applyNumberFormat="1" applyFont="1"/>
    <xf numFmtId="164" fontId="2" fillId="0" borderId="0" xfId="1" applyNumberFormat="1" applyFont="1" applyAlignment="1">
      <alignment wrapText="1"/>
    </xf>
    <xf numFmtId="0" fontId="6" fillId="0" borderId="0" xfId="1" applyFont="1" applyAlignment="1">
      <alignment wrapText="1"/>
    </xf>
    <xf numFmtId="0" fontId="5" fillId="0" borderId="0" xfId="1" applyFont="1" applyFill="1" applyAlignment="1">
      <alignment horizontal="right"/>
    </xf>
    <xf numFmtId="0" fontId="5" fillId="0" borderId="0" xfId="1" applyFont="1" applyAlignment="1">
      <alignment wrapText="1"/>
    </xf>
    <xf numFmtId="1" fontId="2" fillId="0" borderId="0" xfId="1" applyNumberFormat="1" applyFont="1"/>
    <xf numFmtId="2" fontId="5" fillId="0" borderId="0" xfId="1" applyNumberFormat="1" applyFont="1" applyAlignment="1">
      <alignment wrapText="1"/>
    </xf>
    <xf numFmtId="166" fontId="2" fillId="0" borderId="0" xfId="1" applyNumberFormat="1" applyFont="1"/>
    <xf numFmtId="164" fontId="5" fillId="0" borderId="0" xfId="1" applyNumberFormat="1" applyFont="1" applyFill="1"/>
    <xf numFmtId="1" fontId="2" fillId="0" borderId="0" xfId="1" applyNumberFormat="1" applyFont="1" applyAlignment="1">
      <alignment wrapText="1"/>
    </xf>
    <xf numFmtId="0" fontId="1" fillId="0" borderId="0" xfId="1"/>
    <xf numFmtId="0" fontId="2" fillId="0" borderId="0" xfId="1" applyFont="1"/>
    <xf numFmtId="164" fontId="1" fillId="0" borderId="0" xfId="1" applyNumberFormat="1"/>
    <xf numFmtId="0" fontId="2" fillId="0" borderId="0" xfId="1" applyFont="1" applyAlignment="1">
      <alignment wrapText="1"/>
    </xf>
    <xf numFmtId="165" fontId="5" fillId="0" borderId="0" xfId="1" applyNumberFormat="1" applyFont="1" applyFill="1" applyAlignment="1">
      <alignment horizontal="right"/>
    </xf>
    <xf numFmtId="164" fontId="2" fillId="0" borderId="0" xfId="1" applyNumberFormat="1" applyFont="1"/>
    <xf numFmtId="2" fontId="5" fillId="0" borderId="0" xfId="1" applyNumberFormat="1" applyFont="1" applyFill="1" applyAlignment="1">
      <alignment horizontal="right"/>
    </xf>
    <xf numFmtId="1" fontId="5" fillId="0" borderId="0" xfId="1" applyNumberFormat="1" applyFont="1" applyFill="1" applyAlignment="1">
      <alignment horizontal="right"/>
    </xf>
    <xf numFmtId="165" fontId="2" fillId="0" borderId="0" xfId="1" applyNumberFormat="1" applyFont="1"/>
    <xf numFmtId="2" fontId="2" fillId="0" borderId="0" xfId="1" applyNumberFormat="1" applyFont="1"/>
    <xf numFmtId="164" fontId="2" fillId="0" borderId="0" xfId="1" applyNumberFormat="1" applyFont="1" applyAlignment="1">
      <alignment wrapText="1"/>
    </xf>
    <xf numFmtId="0" fontId="6" fillId="0" borderId="0" xfId="1" applyFont="1" applyAlignment="1">
      <alignment wrapText="1"/>
    </xf>
    <xf numFmtId="0" fontId="5" fillId="0" borderId="0" xfId="1" applyFont="1" applyFill="1" applyAlignment="1">
      <alignment horizontal="right"/>
    </xf>
    <xf numFmtId="0" fontId="5" fillId="0" borderId="0" xfId="1" applyFont="1" applyAlignment="1">
      <alignment wrapText="1"/>
    </xf>
    <xf numFmtId="1" fontId="2" fillId="0" borderId="0" xfId="1" applyNumberFormat="1" applyFont="1"/>
    <xf numFmtId="2" fontId="5" fillId="0" borderId="0" xfId="1" applyNumberFormat="1" applyFont="1" applyAlignment="1">
      <alignment wrapText="1"/>
    </xf>
    <xf numFmtId="166" fontId="2" fillId="0" borderId="0" xfId="1" applyNumberFormat="1" applyFont="1"/>
    <xf numFmtId="164" fontId="5" fillId="0" borderId="0" xfId="1" applyNumberFormat="1" applyFont="1" applyFill="1"/>
    <xf numFmtId="0" fontId="1" fillId="0" borderId="0" xfId="1"/>
    <xf numFmtId="0" fontId="2" fillId="0" borderId="0" xfId="1" applyFont="1"/>
    <xf numFmtId="164" fontId="1" fillId="0" borderId="0" xfId="1" applyNumberFormat="1"/>
    <xf numFmtId="0" fontId="2" fillId="0" borderId="0" xfId="1" applyFont="1" applyAlignment="1">
      <alignment wrapText="1"/>
    </xf>
    <xf numFmtId="165" fontId="5" fillId="0" borderId="0" xfId="1" applyNumberFormat="1" applyFont="1" applyFill="1" applyAlignment="1">
      <alignment horizontal="right"/>
    </xf>
    <xf numFmtId="164" fontId="2" fillId="0" borderId="0" xfId="1" applyNumberFormat="1" applyFont="1"/>
    <xf numFmtId="2" fontId="5" fillId="0" borderId="0" xfId="1" applyNumberFormat="1" applyFont="1" applyFill="1" applyAlignment="1">
      <alignment horizontal="right"/>
    </xf>
    <xf numFmtId="1" fontId="5" fillId="0" borderId="0" xfId="1" applyNumberFormat="1" applyFont="1" applyFill="1" applyAlignment="1">
      <alignment horizontal="right"/>
    </xf>
    <xf numFmtId="165" fontId="2" fillId="0" borderId="0" xfId="1" applyNumberFormat="1" applyFont="1"/>
    <xf numFmtId="2" fontId="2" fillId="0" borderId="0" xfId="1" applyNumberFormat="1" applyFont="1"/>
    <xf numFmtId="164" fontId="2" fillId="0" borderId="0" xfId="1" applyNumberFormat="1" applyFont="1" applyAlignment="1">
      <alignment wrapText="1"/>
    </xf>
    <xf numFmtId="0" fontId="6" fillId="0" borderId="0" xfId="1" applyFont="1" applyAlignment="1">
      <alignment wrapText="1"/>
    </xf>
    <xf numFmtId="0" fontId="5" fillId="0" borderId="0" xfId="1" applyFont="1" applyFill="1" applyAlignment="1">
      <alignment horizontal="right"/>
    </xf>
    <xf numFmtId="0" fontId="5" fillId="0" borderId="0" xfId="1" applyFont="1" applyAlignment="1">
      <alignment wrapText="1"/>
    </xf>
    <xf numFmtId="1" fontId="2" fillId="0" borderId="0" xfId="1" applyNumberFormat="1" applyFont="1"/>
    <xf numFmtId="2" fontId="5" fillId="0" borderId="0" xfId="1" applyNumberFormat="1" applyFont="1" applyAlignment="1">
      <alignment wrapText="1"/>
    </xf>
    <xf numFmtId="166" fontId="2" fillId="0" borderId="0" xfId="1" applyNumberFormat="1" applyFont="1"/>
    <xf numFmtId="164" fontId="5" fillId="0" borderId="0" xfId="1" applyNumberFormat="1" applyFont="1" applyFill="1"/>
    <xf numFmtId="1" fontId="2" fillId="0" borderId="0" xfId="1" applyNumberFormat="1" applyFont="1" applyAlignment="1">
      <alignment wrapText="1"/>
    </xf>
    <xf numFmtId="0" fontId="1" fillId="0" borderId="0" xfId="1"/>
    <xf numFmtId="0" fontId="2" fillId="0" borderId="0" xfId="1" applyFont="1"/>
    <xf numFmtId="164" fontId="1" fillId="0" borderId="0" xfId="1" applyNumberFormat="1"/>
    <xf numFmtId="0" fontId="2" fillId="0" borderId="0" xfId="1" applyFont="1" applyAlignment="1">
      <alignment wrapText="1"/>
    </xf>
    <xf numFmtId="165" fontId="5" fillId="0" borderId="0" xfId="1" applyNumberFormat="1" applyFont="1" applyFill="1" applyAlignment="1">
      <alignment horizontal="right"/>
    </xf>
    <xf numFmtId="164" fontId="2" fillId="0" borderId="0" xfId="1" applyNumberFormat="1" applyFont="1"/>
    <xf numFmtId="2" fontId="5" fillId="0" borderId="0" xfId="1" applyNumberFormat="1" applyFont="1" applyFill="1" applyAlignment="1">
      <alignment horizontal="right"/>
    </xf>
    <xf numFmtId="1" fontId="5" fillId="0" borderId="0" xfId="1" applyNumberFormat="1" applyFont="1" applyFill="1" applyAlignment="1">
      <alignment horizontal="right"/>
    </xf>
    <xf numFmtId="165" fontId="2" fillId="0" borderId="0" xfId="1" applyNumberFormat="1" applyFont="1"/>
    <xf numFmtId="2" fontId="2" fillId="0" borderId="0" xfId="1" applyNumberFormat="1" applyFont="1"/>
    <xf numFmtId="164" fontId="2" fillId="0" borderId="0" xfId="1" applyNumberFormat="1" applyFont="1" applyAlignment="1">
      <alignment wrapText="1"/>
    </xf>
    <xf numFmtId="0" fontId="6" fillId="0" borderId="0" xfId="1" applyFont="1" applyAlignment="1">
      <alignment wrapText="1"/>
    </xf>
    <xf numFmtId="0" fontId="5" fillId="0" borderId="0" xfId="1" applyFont="1" applyFill="1" applyAlignment="1">
      <alignment horizontal="right"/>
    </xf>
    <xf numFmtId="0" fontId="5" fillId="0" borderId="0" xfId="1" applyFont="1" applyAlignment="1">
      <alignment wrapText="1"/>
    </xf>
    <xf numFmtId="1" fontId="2" fillId="0" borderId="0" xfId="1" applyNumberFormat="1" applyFont="1"/>
    <xf numFmtId="2" fontId="5" fillId="0" borderId="0" xfId="1" applyNumberFormat="1" applyFont="1" applyAlignment="1">
      <alignment wrapText="1"/>
    </xf>
    <xf numFmtId="166" fontId="2" fillId="0" borderId="0" xfId="1" applyNumberFormat="1" applyFont="1"/>
    <xf numFmtId="164" fontId="5" fillId="0" borderId="0" xfId="1" applyNumberFormat="1" applyFont="1" applyFill="1"/>
    <xf numFmtId="1" fontId="2" fillId="0" borderId="0" xfId="1" applyNumberFormat="1" applyFont="1" applyAlignment="1">
      <alignment wrapText="1"/>
    </xf>
    <xf numFmtId="10" fontId="2" fillId="0" borderId="0" xfId="1" applyNumberFormat="1" applyFont="1" applyAlignment="1">
      <alignment wrapText="1"/>
    </xf>
    <xf numFmtId="0" fontId="1" fillId="0" borderId="0" xfId="1"/>
    <xf numFmtId="0" fontId="2" fillId="0" borderId="0" xfId="1" applyFont="1"/>
    <xf numFmtId="164" fontId="1" fillId="0" borderId="0" xfId="1" applyNumberFormat="1"/>
    <xf numFmtId="0" fontId="2" fillId="0" borderId="0" xfId="1" applyFont="1" applyAlignment="1">
      <alignment wrapText="1"/>
    </xf>
    <xf numFmtId="165" fontId="5" fillId="0" borderId="0" xfId="1" applyNumberFormat="1" applyFont="1" applyFill="1" applyAlignment="1">
      <alignment horizontal="right"/>
    </xf>
    <xf numFmtId="164" fontId="2" fillId="0" borderId="0" xfId="1" applyNumberFormat="1" applyFont="1"/>
    <xf numFmtId="2" fontId="5" fillId="0" borderId="0" xfId="1" applyNumberFormat="1" applyFont="1" applyFill="1" applyAlignment="1">
      <alignment horizontal="right"/>
    </xf>
    <xf numFmtId="1" fontId="5" fillId="0" borderId="0" xfId="1" applyNumberFormat="1" applyFont="1" applyFill="1" applyAlignment="1">
      <alignment horizontal="right"/>
    </xf>
    <xf numFmtId="165" fontId="2" fillId="0" borderId="0" xfId="1" applyNumberFormat="1" applyFont="1"/>
    <xf numFmtId="2" fontId="2" fillId="0" borderId="0" xfId="1" applyNumberFormat="1" applyFont="1"/>
    <xf numFmtId="164" fontId="2" fillId="0" borderId="0" xfId="1" applyNumberFormat="1" applyFont="1" applyAlignment="1">
      <alignment wrapText="1"/>
    </xf>
    <xf numFmtId="0" fontId="6" fillId="0" borderId="0" xfId="1" applyFont="1" applyAlignment="1">
      <alignment wrapText="1"/>
    </xf>
    <xf numFmtId="0" fontId="5" fillId="0" borderId="0" xfId="1" applyFont="1" applyFill="1" applyAlignment="1">
      <alignment horizontal="right"/>
    </xf>
    <xf numFmtId="0" fontId="5" fillId="0" borderId="0" xfId="1" applyFont="1" applyAlignment="1">
      <alignment wrapText="1"/>
    </xf>
    <xf numFmtId="1" fontId="2" fillId="0" borderId="0" xfId="1" applyNumberFormat="1" applyFont="1"/>
    <xf numFmtId="2" fontId="5" fillId="0" borderId="0" xfId="1" applyNumberFormat="1" applyFont="1" applyAlignment="1">
      <alignment wrapText="1"/>
    </xf>
    <xf numFmtId="166" fontId="2" fillId="0" borderId="0" xfId="1" applyNumberFormat="1" applyFont="1"/>
    <xf numFmtId="164" fontId="5" fillId="0" borderId="0" xfId="1" applyNumberFormat="1" applyFont="1" applyFill="1"/>
    <xf numFmtId="0" fontId="1" fillId="0" borderId="0" xfId="1"/>
    <xf numFmtId="0" fontId="2" fillId="0" borderId="0" xfId="1" applyFont="1"/>
    <xf numFmtId="164" fontId="1" fillId="0" borderId="0" xfId="1" applyNumberFormat="1"/>
    <xf numFmtId="0" fontId="2" fillId="0" borderId="0" xfId="1" applyFont="1" applyAlignment="1">
      <alignment wrapText="1"/>
    </xf>
    <xf numFmtId="165" fontId="5" fillId="0" borderId="0" xfId="1" applyNumberFormat="1" applyFont="1" applyFill="1" applyAlignment="1">
      <alignment horizontal="right"/>
    </xf>
    <xf numFmtId="164" fontId="2" fillId="0" borderId="0" xfId="1" applyNumberFormat="1" applyFont="1"/>
    <xf numFmtId="2" fontId="5" fillId="0" borderId="0" xfId="1" applyNumberFormat="1" applyFont="1" applyFill="1" applyAlignment="1">
      <alignment horizontal="right"/>
    </xf>
    <xf numFmtId="1" fontId="5" fillId="0" borderId="0" xfId="1" applyNumberFormat="1" applyFont="1" applyFill="1" applyAlignment="1">
      <alignment horizontal="right"/>
    </xf>
    <xf numFmtId="165" fontId="2" fillId="0" borderId="0" xfId="1" applyNumberFormat="1" applyFont="1"/>
    <xf numFmtId="2" fontId="2" fillId="0" borderId="0" xfId="1" applyNumberFormat="1" applyFont="1"/>
    <xf numFmtId="164" fontId="2" fillId="0" borderId="0" xfId="1" applyNumberFormat="1" applyFont="1" applyAlignment="1">
      <alignment wrapText="1"/>
    </xf>
    <xf numFmtId="0" fontId="6" fillId="0" borderId="0" xfId="1" applyFont="1" applyAlignment="1">
      <alignment wrapText="1"/>
    </xf>
    <xf numFmtId="0" fontId="5" fillId="0" borderId="0" xfId="1" applyFont="1" applyFill="1" applyAlignment="1">
      <alignment horizontal="right"/>
    </xf>
    <xf numFmtId="0" fontId="5" fillId="0" borderId="0" xfId="1" applyFont="1" applyAlignment="1">
      <alignment wrapText="1"/>
    </xf>
    <xf numFmtId="1" fontId="2" fillId="0" borderId="0" xfId="1" applyNumberFormat="1" applyFont="1"/>
    <xf numFmtId="2" fontId="5" fillId="0" borderId="0" xfId="1" applyNumberFormat="1" applyFont="1" applyAlignment="1">
      <alignment wrapText="1"/>
    </xf>
    <xf numFmtId="166" fontId="2" fillId="0" borderId="0" xfId="1" applyNumberFormat="1" applyFont="1"/>
    <xf numFmtId="164" fontId="5" fillId="0" borderId="0" xfId="1" applyNumberFormat="1" applyFont="1" applyFill="1"/>
    <xf numFmtId="1" fontId="2" fillId="0" borderId="0" xfId="1" applyNumberFormat="1" applyFont="1" applyAlignment="1">
      <alignment wrapText="1"/>
    </xf>
    <xf numFmtId="0" fontId="1" fillId="0" borderId="0" xfId="1"/>
    <xf numFmtId="0" fontId="2" fillId="0" borderId="0" xfId="1" applyFont="1"/>
    <xf numFmtId="164" fontId="1" fillId="0" borderId="0" xfId="1" applyNumberFormat="1"/>
    <xf numFmtId="0" fontId="2" fillId="0" borderId="0" xfId="1" applyFont="1" applyAlignment="1">
      <alignment wrapText="1"/>
    </xf>
    <xf numFmtId="165" fontId="5" fillId="0" borderId="0" xfId="1" applyNumberFormat="1" applyFont="1" applyFill="1" applyAlignment="1">
      <alignment horizontal="right"/>
    </xf>
    <xf numFmtId="164" fontId="2" fillId="0" borderId="0" xfId="1" applyNumberFormat="1" applyFont="1"/>
    <xf numFmtId="2" fontId="5" fillId="0" borderId="0" xfId="1" applyNumberFormat="1" applyFont="1" applyFill="1" applyAlignment="1">
      <alignment horizontal="right"/>
    </xf>
    <xf numFmtId="1" fontId="5" fillId="0" borderId="0" xfId="1" applyNumberFormat="1" applyFont="1" applyFill="1" applyAlignment="1">
      <alignment horizontal="right"/>
    </xf>
    <xf numFmtId="165" fontId="2" fillId="0" borderId="0" xfId="1" applyNumberFormat="1" applyFont="1"/>
    <xf numFmtId="2" fontId="2" fillId="0" borderId="0" xfId="1" applyNumberFormat="1" applyFont="1"/>
    <xf numFmtId="164" fontId="2" fillId="0" borderId="0" xfId="1" applyNumberFormat="1" applyFont="1" applyAlignment="1">
      <alignment wrapText="1"/>
    </xf>
    <xf numFmtId="0" fontId="6" fillId="0" borderId="0" xfId="1" applyFont="1" applyAlignment="1">
      <alignment wrapText="1"/>
    </xf>
    <xf numFmtId="0" fontId="5" fillId="0" borderId="0" xfId="1" applyFont="1" applyFill="1" applyAlignment="1">
      <alignment horizontal="right"/>
    </xf>
    <xf numFmtId="0" fontId="5" fillId="0" borderId="0" xfId="1" applyFont="1" applyAlignment="1">
      <alignment wrapText="1"/>
    </xf>
    <xf numFmtId="1" fontId="2" fillId="0" borderId="0" xfId="1" applyNumberFormat="1" applyFont="1"/>
    <xf numFmtId="2" fontId="5" fillId="0" borderId="0" xfId="1" applyNumberFormat="1" applyFont="1" applyAlignment="1">
      <alignment wrapText="1"/>
    </xf>
    <xf numFmtId="166" fontId="2" fillId="0" borderId="0" xfId="1" applyNumberFormat="1" applyFont="1"/>
    <xf numFmtId="164" fontId="5" fillId="0" borderId="0" xfId="1" applyNumberFormat="1" applyFont="1" applyFill="1"/>
    <xf numFmtId="1" fontId="2" fillId="0" borderId="0" xfId="1" applyNumberFormat="1" applyFont="1" applyAlignment="1">
      <alignment wrapText="1"/>
    </xf>
    <xf numFmtId="0" fontId="1" fillId="0" borderId="0" xfId="1"/>
    <xf numFmtId="0" fontId="2" fillId="0" borderId="0" xfId="1" applyFont="1"/>
    <xf numFmtId="164" fontId="1" fillId="0" borderId="0" xfId="1" applyNumberFormat="1"/>
    <xf numFmtId="0" fontId="2" fillId="0" borderId="0" xfId="1" applyFont="1" applyAlignment="1">
      <alignment wrapText="1"/>
    </xf>
    <xf numFmtId="165" fontId="5" fillId="0" borderId="0" xfId="1" applyNumberFormat="1" applyFont="1" applyFill="1" applyAlignment="1">
      <alignment horizontal="right"/>
    </xf>
    <xf numFmtId="164" fontId="2" fillId="0" borderId="0" xfId="1" applyNumberFormat="1" applyFont="1"/>
    <xf numFmtId="2" fontId="5" fillId="0" borderId="0" xfId="1" applyNumberFormat="1" applyFont="1" applyFill="1" applyAlignment="1">
      <alignment horizontal="right"/>
    </xf>
    <xf numFmtId="1" fontId="5" fillId="0" borderId="0" xfId="1" applyNumberFormat="1" applyFont="1" applyFill="1" applyAlignment="1">
      <alignment horizontal="right"/>
    </xf>
    <xf numFmtId="165" fontId="2" fillId="0" borderId="0" xfId="1" applyNumberFormat="1" applyFont="1"/>
    <xf numFmtId="2" fontId="2" fillId="0" borderId="0" xfId="1" applyNumberFormat="1" applyFont="1"/>
    <xf numFmtId="164" fontId="2" fillId="0" borderId="0" xfId="1" applyNumberFormat="1" applyFont="1" applyAlignment="1">
      <alignment wrapText="1"/>
    </xf>
    <xf numFmtId="0" fontId="6" fillId="0" borderId="0" xfId="1" applyFont="1" applyAlignment="1">
      <alignment wrapText="1"/>
    </xf>
    <xf numFmtId="0" fontId="5" fillId="0" borderId="0" xfId="1" applyFont="1" applyFill="1" applyAlignment="1">
      <alignment horizontal="right"/>
    </xf>
    <xf numFmtId="0" fontId="5" fillId="0" borderId="0" xfId="1" applyFont="1" applyAlignment="1">
      <alignment wrapText="1"/>
    </xf>
    <xf numFmtId="1" fontId="2" fillId="0" borderId="0" xfId="1" applyNumberFormat="1" applyFont="1"/>
    <xf numFmtId="2" fontId="5" fillId="0" borderId="0" xfId="1" applyNumberFormat="1" applyFont="1" applyAlignment="1">
      <alignment wrapText="1"/>
    </xf>
    <xf numFmtId="166" fontId="2" fillId="0" borderId="0" xfId="1" applyNumberFormat="1" applyFont="1"/>
    <xf numFmtId="164" fontId="5" fillId="0" borderId="0" xfId="1" applyNumberFormat="1" applyFont="1" applyFill="1"/>
    <xf numFmtId="1" fontId="2" fillId="0" borderId="0" xfId="1" applyNumberFormat="1" applyFont="1" applyAlignment="1">
      <alignment wrapText="1"/>
    </xf>
    <xf numFmtId="10" fontId="2" fillId="0" borderId="0" xfId="1" applyNumberFormat="1" applyFont="1" applyAlignment="1">
      <alignment wrapText="1"/>
    </xf>
    <xf numFmtId="0" fontId="1" fillId="0" borderId="0" xfId="1"/>
    <xf numFmtId="0" fontId="2" fillId="0" borderId="0" xfId="1" applyFont="1"/>
    <xf numFmtId="164" fontId="1" fillId="0" borderId="0" xfId="1" applyNumberFormat="1"/>
    <xf numFmtId="0" fontId="2" fillId="0" borderId="0" xfId="1" applyFont="1" applyAlignment="1">
      <alignment wrapText="1"/>
    </xf>
    <xf numFmtId="165" fontId="5" fillId="0" borderId="0" xfId="1" applyNumberFormat="1" applyFont="1" applyFill="1" applyAlignment="1">
      <alignment horizontal="right"/>
    </xf>
    <xf numFmtId="164" fontId="2" fillId="0" borderId="0" xfId="1" applyNumberFormat="1" applyFont="1"/>
    <xf numFmtId="2" fontId="5" fillId="0" borderId="0" xfId="1" applyNumberFormat="1" applyFont="1" applyFill="1" applyAlignment="1">
      <alignment horizontal="right"/>
    </xf>
    <xf numFmtId="1" fontId="5" fillId="0" borderId="0" xfId="1" applyNumberFormat="1" applyFont="1" applyFill="1" applyAlignment="1">
      <alignment horizontal="right"/>
    </xf>
    <xf numFmtId="165" fontId="2" fillId="0" borderId="0" xfId="1" applyNumberFormat="1" applyFont="1"/>
    <xf numFmtId="2" fontId="2" fillId="0" borderId="0" xfId="1" applyNumberFormat="1" applyFont="1"/>
    <xf numFmtId="164" fontId="2" fillId="0" borderId="0" xfId="1" applyNumberFormat="1" applyFont="1" applyAlignment="1">
      <alignment wrapText="1"/>
    </xf>
    <xf numFmtId="0" fontId="6" fillId="0" borderId="0" xfId="1" applyFont="1" applyAlignment="1">
      <alignment wrapText="1"/>
    </xf>
    <xf numFmtId="0" fontId="5" fillId="0" borderId="0" xfId="1" applyFont="1" applyFill="1" applyAlignment="1">
      <alignment horizontal="right"/>
    </xf>
    <xf numFmtId="0" fontId="5" fillId="0" borderId="0" xfId="1" applyFont="1" applyAlignment="1">
      <alignment wrapText="1"/>
    </xf>
    <xf numFmtId="1" fontId="2" fillId="0" borderId="0" xfId="1" applyNumberFormat="1" applyFont="1"/>
    <xf numFmtId="2" fontId="5" fillId="0" borderId="0" xfId="1" applyNumberFormat="1" applyFont="1" applyAlignment="1">
      <alignment wrapText="1"/>
    </xf>
    <xf numFmtId="166" fontId="2" fillId="0" borderId="0" xfId="1" applyNumberFormat="1" applyFont="1"/>
    <xf numFmtId="164" fontId="5" fillId="0" borderId="0" xfId="1" applyNumberFormat="1" applyFont="1" applyFill="1"/>
    <xf numFmtId="1" fontId="2" fillId="0" borderId="0" xfId="1" applyNumberFormat="1" applyFont="1" applyAlignment="1">
      <alignment wrapText="1"/>
    </xf>
    <xf numFmtId="0" fontId="1" fillId="0" borderId="0" xfId="1"/>
    <xf numFmtId="0" fontId="2" fillId="0" borderId="0" xfId="1" applyFont="1"/>
    <xf numFmtId="164" fontId="1" fillId="0" borderId="0" xfId="1" applyNumberFormat="1"/>
    <xf numFmtId="0" fontId="2" fillId="0" borderId="0" xfId="1" applyFont="1" applyAlignment="1">
      <alignment wrapText="1"/>
    </xf>
    <xf numFmtId="165" fontId="5" fillId="0" borderId="0" xfId="1" applyNumberFormat="1" applyFont="1" applyFill="1" applyAlignment="1">
      <alignment horizontal="right"/>
    </xf>
    <xf numFmtId="164" fontId="2" fillId="0" borderId="0" xfId="1" applyNumberFormat="1" applyFont="1"/>
    <xf numFmtId="2" fontId="5" fillId="0" borderId="0" xfId="1" applyNumberFormat="1" applyFont="1" applyFill="1" applyAlignment="1">
      <alignment horizontal="right"/>
    </xf>
    <xf numFmtId="1" fontId="5" fillId="0" borderId="0" xfId="1" applyNumberFormat="1" applyFont="1" applyFill="1" applyAlignment="1">
      <alignment horizontal="right"/>
    </xf>
    <xf numFmtId="165" fontId="2" fillId="0" borderId="0" xfId="1" applyNumberFormat="1" applyFont="1"/>
    <xf numFmtId="2" fontId="2" fillId="0" borderId="0" xfId="1" applyNumberFormat="1" applyFont="1"/>
    <xf numFmtId="164" fontId="2" fillId="0" borderId="0" xfId="1" applyNumberFormat="1" applyFont="1" applyAlignment="1">
      <alignment wrapText="1"/>
    </xf>
    <xf numFmtId="0" fontId="6" fillId="0" borderId="0" xfId="1" applyFont="1" applyAlignment="1">
      <alignment wrapText="1"/>
    </xf>
    <xf numFmtId="0" fontId="5" fillId="0" borderId="0" xfId="1" applyFont="1" applyFill="1" applyAlignment="1">
      <alignment horizontal="right"/>
    </xf>
    <xf numFmtId="0" fontId="5" fillId="0" borderId="0" xfId="1" applyFont="1" applyAlignment="1">
      <alignment wrapText="1"/>
    </xf>
    <xf numFmtId="1" fontId="2" fillId="0" borderId="0" xfId="1" applyNumberFormat="1" applyFont="1"/>
    <xf numFmtId="2" fontId="5" fillId="0" borderId="0" xfId="1" applyNumberFormat="1" applyFont="1" applyAlignment="1">
      <alignment wrapText="1"/>
    </xf>
    <xf numFmtId="166" fontId="2" fillId="0" borderId="0" xfId="1" applyNumberFormat="1" applyFont="1"/>
    <xf numFmtId="164" fontId="5" fillId="0" borderId="0" xfId="1" applyNumberFormat="1" applyFont="1" applyFill="1"/>
    <xf numFmtId="1" fontId="2" fillId="0" borderId="0" xfId="1" applyNumberFormat="1" applyFont="1" applyAlignment="1">
      <alignment wrapText="1"/>
    </xf>
    <xf numFmtId="0" fontId="1" fillId="0" borderId="0" xfId="1"/>
    <xf numFmtId="0" fontId="2" fillId="0" borderId="0" xfId="1" applyFont="1"/>
    <xf numFmtId="164" fontId="1" fillId="0" borderId="0" xfId="1" applyNumberFormat="1"/>
    <xf numFmtId="0" fontId="2" fillId="0" borderId="0" xfId="1" applyFont="1" applyAlignment="1">
      <alignment wrapText="1"/>
    </xf>
    <xf numFmtId="165" fontId="5" fillId="0" borderId="0" xfId="1" applyNumberFormat="1" applyFont="1" applyFill="1" applyAlignment="1">
      <alignment horizontal="right"/>
    </xf>
    <xf numFmtId="164" fontId="2" fillId="0" borderId="0" xfId="1" applyNumberFormat="1" applyFont="1"/>
    <xf numFmtId="2" fontId="5" fillId="0" borderId="0" xfId="1" applyNumberFormat="1" applyFont="1" applyFill="1" applyAlignment="1">
      <alignment horizontal="right"/>
    </xf>
    <xf numFmtId="1" fontId="5" fillId="0" borderId="0" xfId="1" applyNumberFormat="1" applyFont="1" applyFill="1" applyAlignment="1">
      <alignment horizontal="right"/>
    </xf>
    <xf numFmtId="165" fontId="2" fillId="0" borderId="0" xfId="1" applyNumberFormat="1" applyFont="1"/>
    <xf numFmtId="2" fontId="2" fillId="0" borderId="0" xfId="1" applyNumberFormat="1" applyFont="1"/>
    <xf numFmtId="164" fontId="2" fillId="0" borderId="0" xfId="1" applyNumberFormat="1" applyFont="1" applyAlignment="1">
      <alignment wrapText="1"/>
    </xf>
    <xf numFmtId="0" fontId="6" fillId="0" borderId="0" xfId="1" applyFont="1" applyAlignment="1">
      <alignment wrapText="1"/>
    </xf>
    <xf numFmtId="0" fontId="5" fillId="0" borderId="0" xfId="1" applyFont="1" applyFill="1" applyAlignment="1">
      <alignment horizontal="right"/>
    </xf>
    <xf numFmtId="0" fontId="5" fillId="0" borderId="0" xfId="1" applyFont="1" applyAlignment="1">
      <alignment wrapText="1"/>
    </xf>
    <xf numFmtId="1" fontId="2" fillId="0" borderId="0" xfId="1" applyNumberFormat="1" applyFont="1"/>
    <xf numFmtId="2" fontId="5" fillId="0" borderId="0" xfId="1" applyNumberFormat="1" applyFont="1" applyAlignment="1">
      <alignment wrapText="1"/>
    </xf>
    <xf numFmtId="166" fontId="2" fillId="0" borderId="0" xfId="1" applyNumberFormat="1" applyFont="1"/>
    <xf numFmtId="164" fontId="5" fillId="0" borderId="0" xfId="1" applyNumberFormat="1" applyFont="1" applyFill="1"/>
    <xf numFmtId="1" fontId="2" fillId="0" borderId="0" xfId="1" applyNumberFormat="1" applyFont="1" applyAlignment="1">
      <alignment wrapText="1"/>
    </xf>
    <xf numFmtId="10" fontId="2" fillId="0" borderId="0" xfId="1" applyNumberFormat="1" applyFont="1" applyAlignment="1">
      <alignment wrapText="1"/>
    </xf>
    <xf numFmtId="0" fontId="1" fillId="0" borderId="0" xfId="1"/>
    <xf numFmtId="0" fontId="2" fillId="0" borderId="0" xfId="1" applyFont="1"/>
    <xf numFmtId="164" fontId="1" fillId="0" borderId="0" xfId="1" applyNumberFormat="1"/>
    <xf numFmtId="0" fontId="2" fillId="0" borderId="0" xfId="1" applyFont="1" applyAlignment="1">
      <alignment wrapText="1"/>
    </xf>
    <xf numFmtId="165" fontId="5" fillId="0" borderId="0" xfId="1" applyNumberFormat="1" applyFont="1" applyFill="1" applyAlignment="1">
      <alignment horizontal="right"/>
    </xf>
    <xf numFmtId="164" fontId="2" fillId="0" borderId="0" xfId="1" applyNumberFormat="1" applyFont="1"/>
    <xf numFmtId="2" fontId="5" fillId="0" borderId="0" xfId="1" applyNumberFormat="1" applyFont="1" applyFill="1" applyAlignment="1">
      <alignment horizontal="right"/>
    </xf>
    <xf numFmtId="1" fontId="5" fillId="0" borderId="0" xfId="1" applyNumberFormat="1" applyFont="1" applyFill="1" applyAlignment="1">
      <alignment horizontal="right"/>
    </xf>
    <xf numFmtId="165" fontId="2" fillId="0" borderId="0" xfId="1" applyNumberFormat="1" applyFont="1"/>
    <xf numFmtId="2" fontId="2" fillId="0" borderId="0" xfId="1" applyNumberFormat="1" applyFont="1"/>
    <xf numFmtId="164" fontId="2" fillId="0" borderId="0" xfId="1" applyNumberFormat="1" applyFont="1" applyAlignment="1">
      <alignment wrapText="1"/>
    </xf>
    <xf numFmtId="0" fontId="6" fillId="0" borderId="0" xfId="1" applyFont="1" applyAlignment="1">
      <alignment wrapText="1"/>
    </xf>
    <xf numFmtId="0" fontId="5" fillId="0" borderId="0" xfId="1" applyFont="1" applyFill="1" applyAlignment="1">
      <alignment horizontal="right"/>
    </xf>
    <xf numFmtId="0" fontId="5" fillId="0" borderId="0" xfId="1" applyFont="1" applyAlignment="1">
      <alignment wrapText="1"/>
    </xf>
    <xf numFmtId="1" fontId="2" fillId="0" borderId="0" xfId="1" applyNumberFormat="1" applyFont="1"/>
    <xf numFmtId="2" fontId="5" fillId="0" borderId="0" xfId="1" applyNumberFormat="1" applyFont="1" applyAlignment="1">
      <alignment wrapText="1"/>
    </xf>
    <xf numFmtId="166" fontId="2" fillId="0" borderId="0" xfId="1" applyNumberFormat="1" applyFont="1"/>
    <xf numFmtId="164" fontId="5" fillId="0" borderId="0" xfId="1" applyNumberFormat="1" applyFont="1" applyFill="1"/>
    <xf numFmtId="1" fontId="2" fillId="0" borderId="0" xfId="1" applyNumberFormat="1" applyFont="1" applyAlignment="1">
      <alignment wrapText="1"/>
    </xf>
    <xf numFmtId="10" fontId="2" fillId="0" borderId="0" xfId="1" applyNumberFormat="1" applyFont="1" applyAlignment="1">
      <alignment wrapText="1"/>
    </xf>
    <xf numFmtId="0" fontId="1" fillId="0" borderId="0" xfId="1"/>
    <xf numFmtId="0" fontId="2" fillId="0" borderId="0" xfId="1" applyFont="1"/>
    <xf numFmtId="164" fontId="1" fillId="0" borderId="0" xfId="1" applyNumberFormat="1"/>
    <xf numFmtId="0" fontId="2" fillId="0" borderId="0" xfId="1" applyFont="1" applyAlignment="1">
      <alignment wrapText="1"/>
    </xf>
    <xf numFmtId="165" fontId="5" fillId="0" borderId="0" xfId="1" applyNumberFormat="1" applyFont="1" applyFill="1" applyAlignment="1">
      <alignment horizontal="right"/>
    </xf>
    <xf numFmtId="164" fontId="2" fillId="0" borderId="0" xfId="1" applyNumberFormat="1" applyFont="1"/>
    <xf numFmtId="2" fontId="5" fillId="0" borderId="0" xfId="1" applyNumberFormat="1" applyFont="1" applyFill="1" applyAlignment="1">
      <alignment horizontal="right"/>
    </xf>
    <xf numFmtId="1" fontId="5" fillId="0" borderId="0" xfId="1" applyNumberFormat="1" applyFont="1" applyFill="1" applyAlignment="1">
      <alignment horizontal="right"/>
    </xf>
    <xf numFmtId="165" fontId="2" fillId="0" borderId="0" xfId="1" applyNumberFormat="1" applyFont="1"/>
    <xf numFmtId="2" fontId="2" fillId="0" borderId="0" xfId="1" applyNumberFormat="1" applyFont="1"/>
    <xf numFmtId="164" fontId="2" fillId="0" borderId="0" xfId="1" applyNumberFormat="1" applyFont="1" applyAlignment="1">
      <alignment wrapText="1"/>
    </xf>
    <xf numFmtId="0" fontId="6" fillId="0" borderId="0" xfId="1" applyFont="1" applyAlignment="1">
      <alignment wrapText="1"/>
    </xf>
    <xf numFmtId="0" fontId="5" fillId="0" borderId="0" xfId="1" applyFont="1" applyFill="1" applyAlignment="1">
      <alignment horizontal="right"/>
    </xf>
    <xf numFmtId="0" fontId="5" fillId="0" borderId="0" xfId="1" applyFont="1" applyAlignment="1">
      <alignment wrapText="1"/>
    </xf>
    <xf numFmtId="1" fontId="2" fillId="0" borderId="0" xfId="1" applyNumberFormat="1" applyFont="1"/>
    <xf numFmtId="2" fontId="5" fillId="0" borderId="0" xfId="1" applyNumberFormat="1" applyFont="1" applyAlignment="1">
      <alignment wrapText="1"/>
    </xf>
    <xf numFmtId="166" fontId="2" fillId="0" borderId="0" xfId="1" applyNumberFormat="1" applyFont="1"/>
    <xf numFmtId="164" fontId="5" fillId="0" borderId="0" xfId="1" applyNumberFormat="1" applyFont="1" applyFill="1"/>
    <xf numFmtId="0" fontId="1" fillId="0" borderId="0" xfId="1"/>
    <xf numFmtId="0" fontId="2" fillId="0" borderId="0" xfId="1" applyFont="1"/>
    <xf numFmtId="164" fontId="1" fillId="0" borderId="0" xfId="1" applyNumberFormat="1"/>
    <xf numFmtId="0" fontId="2" fillId="0" borderId="0" xfId="1" applyFont="1" applyAlignment="1">
      <alignment wrapText="1"/>
    </xf>
    <xf numFmtId="165" fontId="5" fillId="0" borderId="0" xfId="1" applyNumberFormat="1" applyFont="1" applyFill="1" applyAlignment="1">
      <alignment horizontal="right"/>
    </xf>
    <xf numFmtId="164" fontId="2" fillId="0" borderId="0" xfId="1" applyNumberFormat="1" applyFont="1"/>
    <xf numFmtId="2" fontId="5" fillId="0" borderId="0" xfId="1" applyNumberFormat="1" applyFont="1" applyFill="1" applyAlignment="1">
      <alignment horizontal="right"/>
    </xf>
    <xf numFmtId="1" fontId="5" fillId="0" borderId="0" xfId="1" applyNumberFormat="1" applyFont="1" applyFill="1" applyAlignment="1">
      <alignment horizontal="right"/>
    </xf>
    <xf numFmtId="165" fontId="2" fillId="0" borderId="0" xfId="1" applyNumberFormat="1" applyFont="1"/>
    <xf numFmtId="2" fontId="2" fillId="0" borderId="0" xfId="1" applyNumberFormat="1" applyFont="1"/>
    <xf numFmtId="164" fontId="2" fillId="0" borderId="0" xfId="1" applyNumberFormat="1" applyFont="1" applyAlignment="1">
      <alignment wrapText="1"/>
    </xf>
    <xf numFmtId="0" fontId="6" fillId="0" borderId="0" xfId="1" applyFont="1" applyAlignment="1">
      <alignment wrapText="1"/>
    </xf>
    <xf numFmtId="0" fontId="5" fillId="0" borderId="0" xfId="1" applyFont="1" applyFill="1" applyAlignment="1">
      <alignment horizontal="right"/>
    </xf>
    <xf numFmtId="0" fontId="5" fillId="0" borderId="0" xfId="1" applyFont="1" applyAlignment="1">
      <alignment wrapText="1"/>
    </xf>
    <xf numFmtId="1" fontId="2" fillId="0" borderId="0" xfId="1" applyNumberFormat="1" applyFont="1"/>
    <xf numFmtId="2" fontId="5" fillId="0" borderId="0" xfId="1" applyNumberFormat="1" applyFont="1" applyAlignment="1">
      <alignment wrapText="1"/>
    </xf>
    <xf numFmtId="166" fontId="2" fillId="0" borderId="0" xfId="1" applyNumberFormat="1" applyFont="1"/>
    <xf numFmtId="164" fontId="5" fillId="0" borderId="0" xfId="1" applyNumberFormat="1" applyFont="1" applyFill="1"/>
    <xf numFmtId="1" fontId="2" fillId="0" borderId="0" xfId="1" applyNumberFormat="1" applyFont="1" applyAlignment="1">
      <alignment wrapText="1"/>
    </xf>
    <xf numFmtId="0" fontId="1" fillId="0" borderId="0" xfId="1"/>
    <xf numFmtId="0" fontId="2" fillId="0" borderId="0" xfId="1" applyFont="1"/>
    <xf numFmtId="164" fontId="1" fillId="0" borderId="0" xfId="1" applyNumberFormat="1"/>
    <xf numFmtId="0" fontId="2" fillId="0" borderId="0" xfId="1" applyFont="1" applyAlignment="1">
      <alignment wrapText="1"/>
    </xf>
    <xf numFmtId="165" fontId="5" fillId="0" borderId="0" xfId="1" applyNumberFormat="1" applyFont="1" applyFill="1" applyAlignment="1">
      <alignment horizontal="right"/>
    </xf>
    <xf numFmtId="164" fontId="2" fillId="0" borderId="0" xfId="1" applyNumberFormat="1" applyFont="1"/>
    <xf numFmtId="2" fontId="5" fillId="0" borderId="0" xfId="1" applyNumberFormat="1" applyFont="1" applyFill="1" applyAlignment="1">
      <alignment horizontal="right"/>
    </xf>
    <xf numFmtId="1" fontId="5" fillId="0" borderId="0" xfId="1" applyNumberFormat="1" applyFont="1" applyFill="1" applyAlignment="1">
      <alignment horizontal="right"/>
    </xf>
    <xf numFmtId="165" fontId="2" fillId="0" borderId="0" xfId="1" applyNumberFormat="1" applyFont="1"/>
    <xf numFmtId="2" fontId="2" fillId="0" borderId="0" xfId="1" applyNumberFormat="1" applyFont="1"/>
    <xf numFmtId="164" fontId="2" fillId="0" borderId="0" xfId="1" applyNumberFormat="1" applyFont="1" applyAlignment="1">
      <alignment wrapText="1"/>
    </xf>
    <xf numFmtId="0" fontId="6" fillId="0" borderId="0" xfId="1" applyFont="1" applyAlignment="1">
      <alignment wrapText="1"/>
    </xf>
    <xf numFmtId="0" fontId="5" fillId="0" borderId="0" xfId="1" applyFont="1" applyFill="1" applyAlignment="1">
      <alignment horizontal="right"/>
    </xf>
    <xf numFmtId="0" fontId="5" fillId="0" borderId="0" xfId="1" applyFont="1" applyAlignment="1">
      <alignment wrapText="1"/>
    </xf>
    <xf numFmtId="1" fontId="2" fillId="0" borderId="0" xfId="1" applyNumberFormat="1" applyFont="1"/>
    <xf numFmtId="2" fontId="5" fillId="0" borderId="0" xfId="1" applyNumberFormat="1" applyFont="1" applyAlignment="1">
      <alignment wrapText="1"/>
    </xf>
    <xf numFmtId="166" fontId="2" fillId="0" borderId="0" xfId="1" applyNumberFormat="1" applyFont="1"/>
    <xf numFmtId="164" fontId="5" fillId="0" borderId="0" xfId="1" applyNumberFormat="1" applyFont="1" applyFill="1"/>
    <xf numFmtId="1" fontId="2" fillId="0" borderId="0" xfId="1" applyNumberFormat="1" applyFont="1" applyAlignment="1">
      <alignment wrapText="1"/>
    </xf>
    <xf numFmtId="0" fontId="5" fillId="0" borderId="0" xfId="0" applyFont="1" applyFill="1" applyAlignment="1">
      <alignment horizontal="right"/>
    </xf>
    <xf numFmtId="2" fontId="5" fillId="0" borderId="0" xfId="0" applyNumberFormat="1" applyFont="1" applyFill="1" applyAlignment="1">
      <alignment horizontal="right"/>
    </xf>
    <xf numFmtId="0" fontId="2" fillId="0" borderId="0" xfId="0" applyFont="1"/>
    <xf numFmtId="165" fontId="5" fillId="0" borderId="0" xfId="0" applyNumberFormat="1" applyFont="1" applyFill="1" applyAlignment="1">
      <alignment horizontal="right"/>
    </xf>
    <xf numFmtId="164" fontId="2" fillId="0" borderId="0" xfId="0" applyNumberFormat="1" applyFont="1"/>
    <xf numFmtId="165" fontId="2" fillId="0" borderId="0" xfId="0" applyNumberFormat="1" applyFont="1"/>
    <xf numFmtId="1" fontId="5" fillId="0" borderId="0" xfId="0" applyNumberFormat="1" applyFont="1" applyFill="1" applyAlignment="1">
      <alignment horizontal="right"/>
    </xf>
    <xf numFmtId="164" fontId="0" fillId="0" borderId="0" xfId="0" applyNumberFormat="1"/>
    <xf numFmtId="0" fontId="5" fillId="0" borderId="0" xfId="0" applyFont="1" applyAlignment="1">
      <alignment wrapText="1"/>
    </xf>
    <xf numFmtId="2" fontId="2" fillId="0" borderId="0" xfId="0" applyNumberFormat="1" applyFont="1"/>
    <xf numFmtId="1" fontId="2" fillId="0" borderId="0" xfId="0" applyNumberFormat="1" applyFont="1"/>
    <xf numFmtId="2" fontId="5" fillId="0" borderId="0" xfId="0" applyNumberFormat="1" applyFont="1" applyAlignment="1">
      <alignment wrapText="1"/>
    </xf>
    <xf numFmtId="166" fontId="2" fillId="0" borderId="0" xfId="0" applyNumberFormat="1" applyFont="1"/>
    <xf numFmtId="164" fontId="5" fillId="0" borderId="0" xfId="0" applyNumberFormat="1" applyFont="1" applyFill="1"/>
    <xf numFmtId="164" fontId="2" fillId="0" borderId="0" xfId="0" applyNumberFormat="1" applyFont="1" applyAlignment="1">
      <alignment wrapText="1"/>
    </xf>
    <xf numFmtId="10" fontId="2" fillId="0" borderId="0" xfId="0" applyNumberFormat="1" applyFont="1" applyAlignment="1">
      <alignment wrapText="1"/>
    </xf>
    <xf numFmtId="1" fontId="2" fillId="0" borderId="0" xfId="0" applyNumberFormat="1" applyFont="1" applyAlignment="1">
      <alignment wrapText="1"/>
    </xf>
  </cellXfs>
  <cellStyles count="3">
    <cellStyle name="Excel Built-in Normal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101"/>
  <sheetViews>
    <sheetView tabSelected="1" zoomScaleNormal="100" workbookViewId="0">
      <selection activeCell="G102" sqref="G102"/>
    </sheetView>
  </sheetViews>
  <sheetFormatPr defaultRowHeight="15" x14ac:dyDescent="0.25"/>
  <cols>
    <col min="6" max="6" width="11.5703125" bestFit="1" customWidth="1"/>
    <col min="8" max="8" width="11.5703125" bestFit="1" customWidth="1"/>
  </cols>
  <sheetData>
    <row r="1" spans="1:131" ht="74.25" x14ac:dyDescent="0.25">
      <c r="A1" s="3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1" t="s">
        <v>453</v>
      </c>
      <c r="G1" s="1" t="s">
        <v>454</v>
      </c>
      <c r="H1" s="1" t="s">
        <v>455</v>
      </c>
      <c r="I1" s="1" t="s">
        <v>5</v>
      </c>
      <c r="J1" s="1" t="s">
        <v>6</v>
      </c>
      <c r="K1" s="1" t="s">
        <v>7</v>
      </c>
      <c r="L1" s="1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13</v>
      </c>
      <c r="R1" s="7" t="s">
        <v>14</v>
      </c>
      <c r="S1" s="7" t="s">
        <v>15</v>
      </c>
      <c r="T1" s="7" t="s">
        <v>16</v>
      </c>
      <c r="U1" s="1" t="s">
        <v>17</v>
      </c>
      <c r="V1" s="1" t="s">
        <v>18</v>
      </c>
      <c r="W1" s="4" t="s">
        <v>19</v>
      </c>
      <c r="X1" s="4" t="s">
        <v>20</v>
      </c>
      <c r="Y1" s="4" t="s">
        <v>21</v>
      </c>
      <c r="Z1" s="5" t="s">
        <v>22</v>
      </c>
      <c r="AA1" s="5" t="s">
        <v>23</v>
      </c>
      <c r="AB1" s="5" t="s">
        <v>24</v>
      </c>
      <c r="AC1" s="3" t="s">
        <v>25</v>
      </c>
      <c r="AD1" s="7" t="s">
        <v>26</v>
      </c>
      <c r="AE1" s="7" t="s">
        <v>27</v>
      </c>
      <c r="AF1" s="7" t="s">
        <v>28</v>
      </c>
      <c r="AG1" s="7" t="s">
        <v>29</v>
      </c>
      <c r="AH1" s="7" t="s">
        <v>30</v>
      </c>
      <c r="AI1" s="7" t="s">
        <v>31</v>
      </c>
      <c r="AJ1" s="7" t="s">
        <v>32</v>
      </c>
      <c r="AK1" s="7" t="s">
        <v>33</v>
      </c>
      <c r="AL1" s="7" t="s">
        <v>34</v>
      </c>
      <c r="AM1" s="8" t="s">
        <v>35</v>
      </c>
      <c r="AN1" s="3" t="s">
        <v>36</v>
      </c>
      <c r="AO1" s="3" t="s">
        <v>37</v>
      </c>
      <c r="AP1" s="3" t="s">
        <v>38</v>
      </c>
      <c r="AQ1" s="3" t="s">
        <v>39</v>
      </c>
      <c r="AR1" s="3" t="s">
        <v>40</v>
      </c>
      <c r="AS1" s="3" t="s">
        <v>41</v>
      </c>
      <c r="AT1" s="8" t="s">
        <v>42</v>
      </c>
      <c r="AU1" s="5" t="s">
        <v>43</v>
      </c>
      <c r="AV1" s="5" t="s">
        <v>44</v>
      </c>
      <c r="AW1" s="5" t="s">
        <v>45</v>
      </c>
      <c r="AX1" s="5" t="s">
        <v>46</v>
      </c>
      <c r="AY1" s="5" t="s">
        <v>47</v>
      </c>
      <c r="AZ1" s="6" t="s">
        <v>48</v>
      </c>
      <c r="BA1" s="5" t="s">
        <v>49</v>
      </c>
      <c r="BB1" s="6" t="s">
        <v>50</v>
      </c>
      <c r="BC1" s="3" t="s">
        <v>51</v>
      </c>
      <c r="BD1" s="6" t="s">
        <v>52</v>
      </c>
      <c r="BE1" s="5" t="s">
        <v>53</v>
      </c>
      <c r="BF1" s="6" t="s">
        <v>54</v>
      </c>
      <c r="BG1" s="6" t="s">
        <v>55</v>
      </c>
      <c r="BH1" s="6" t="s">
        <v>56</v>
      </c>
      <c r="BI1" s="5" t="s">
        <v>57</v>
      </c>
      <c r="BJ1" s="3" t="s">
        <v>58</v>
      </c>
      <c r="BK1" s="3" t="s">
        <v>59</v>
      </c>
      <c r="BL1" s="3" t="s">
        <v>60</v>
      </c>
      <c r="BM1" s="3" t="s">
        <v>61</v>
      </c>
      <c r="BN1" s="3" t="s">
        <v>62</v>
      </c>
      <c r="BO1" s="3" t="s">
        <v>63</v>
      </c>
      <c r="BP1" s="5" t="s">
        <v>64</v>
      </c>
      <c r="BQ1" s="5" t="s">
        <v>65</v>
      </c>
      <c r="BR1" s="5" t="s">
        <v>66</v>
      </c>
      <c r="BS1" s="5" t="s">
        <v>67</v>
      </c>
      <c r="BT1" s="5" t="s">
        <v>68</v>
      </c>
      <c r="BU1" s="3" t="s">
        <v>69</v>
      </c>
      <c r="BV1" s="3" t="s">
        <v>70</v>
      </c>
      <c r="BW1" s="3" t="s">
        <v>71</v>
      </c>
      <c r="BX1" s="3" t="s">
        <v>72</v>
      </c>
      <c r="BY1" s="3" t="s">
        <v>73</v>
      </c>
      <c r="BZ1" s="3" t="s">
        <v>74</v>
      </c>
      <c r="CA1" s="3" t="s">
        <v>75</v>
      </c>
      <c r="CB1" s="3" t="s">
        <v>76</v>
      </c>
      <c r="CC1" s="3" t="s">
        <v>77</v>
      </c>
      <c r="CD1" s="3" t="s">
        <v>78</v>
      </c>
      <c r="CE1" s="3" t="s">
        <v>79</v>
      </c>
      <c r="CF1" s="5" t="s">
        <v>80</v>
      </c>
      <c r="CG1" s="4" t="s">
        <v>81</v>
      </c>
      <c r="CH1" s="3" t="s">
        <v>82</v>
      </c>
      <c r="CI1" s="3" t="s">
        <v>83</v>
      </c>
      <c r="CJ1" s="3" t="s">
        <v>84</v>
      </c>
      <c r="CK1" s="3" t="s">
        <v>85</v>
      </c>
      <c r="CL1" s="3" t="s">
        <v>86</v>
      </c>
      <c r="CM1" s="3" t="s">
        <v>87</v>
      </c>
      <c r="CN1" s="3" t="s">
        <v>88</v>
      </c>
      <c r="CO1" s="3" t="s">
        <v>89</v>
      </c>
      <c r="CP1" s="3" t="s">
        <v>90</v>
      </c>
      <c r="CQ1" s="3" t="s">
        <v>91</v>
      </c>
      <c r="CR1" s="3" t="s">
        <v>92</v>
      </c>
      <c r="CS1" s="3" t="s">
        <v>93</v>
      </c>
      <c r="CT1" s="3" t="s">
        <v>94</v>
      </c>
      <c r="CU1" s="3" t="s">
        <v>95</v>
      </c>
      <c r="CV1" s="3" t="s">
        <v>96</v>
      </c>
      <c r="CW1" s="3" t="s">
        <v>97</v>
      </c>
      <c r="CX1" s="3" t="s">
        <v>98</v>
      </c>
      <c r="CY1" s="3" t="s">
        <v>99</v>
      </c>
      <c r="CZ1" s="3" t="s">
        <v>100</v>
      </c>
      <c r="DA1" s="3" t="s">
        <v>101</v>
      </c>
      <c r="DB1" s="3" t="s">
        <v>102</v>
      </c>
      <c r="DC1" s="3" t="s">
        <v>103</v>
      </c>
      <c r="DD1" s="3" t="s">
        <v>104</v>
      </c>
      <c r="DE1" s="5" t="s">
        <v>105</v>
      </c>
      <c r="DF1" s="5" t="s">
        <v>106</v>
      </c>
      <c r="DG1" s="5" t="s">
        <v>107</v>
      </c>
      <c r="DH1" s="5" t="s">
        <v>108</v>
      </c>
      <c r="DI1" s="1" t="s">
        <v>109</v>
      </c>
      <c r="DJ1" s="1" t="s">
        <v>110</v>
      </c>
      <c r="DK1" s="1" t="s">
        <v>111</v>
      </c>
      <c r="DL1" s="2" t="s">
        <v>112</v>
      </c>
      <c r="DM1" s="2" t="s">
        <v>113</v>
      </c>
      <c r="DN1" s="2" t="s">
        <v>114</v>
      </c>
      <c r="DO1" s="2" t="s">
        <v>115</v>
      </c>
      <c r="DP1" s="2" t="s">
        <v>116</v>
      </c>
      <c r="DQ1" s="2" t="s">
        <v>117</v>
      </c>
      <c r="DR1" s="2" t="s">
        <v>118</v>
      </c>
      <c r="DS1" s="2" t="s">
        <v>119</v>
      </c>
      <c r="DT1" s="2" t="s">
        <v>120</v>
      </c>
      <c r="DU1" s="2" t="s">
        <v>121</v>
      </c>
      <c r="DV1" s="2" t="s">
        <v>122</v>
      </c>
      <c r="DW1" s="2" t="s">
        <v>123</v>
      </c>
      <c r="DX1" s="2" t="s">
        <v>124</v>
      </c>
      <c r="DY1" s="2" t="s">
        <v>125</v>
      </c>
      <c r="DZ1" s="2" t="s">
        <v>126</v>
      </c>
      <c r="EA1" s="2" t="s">
        <v>127</v>
      </c>
    </row>
    <row r="2" spans="1:131" ht="26.25" x14ac:dyDescent="0.25">
      <c r="A2" s="14" t="s">
        <v>128</v>
      </c>
      <c r="B2" s="14" t="s">
        <v>129</v>
      </c>
      <c r="C2" s="22" t="s">
        <v>130</v>
      </c>
      <c r="D2" s="12" t="s">
        <v>131</v>
      </c>
      <c r="E2" s="14" t="s">
        <v>132</v>
      </c>
      <c r="F2" s="941">
        <f>(64/80)</f>
        <v>0.8</v>
      </c>
      <c r="G2" s="941" t="s">
        <v>456</v>
      </c>
      <c r="H2" s="941">
        <f>(40/37)</f>
        <v>1.0810810810810811</v>
      </c>
      <c r="I2" s="14">
        <v>80</v>
      </c>
      <c r="J2" s="14">
        <v>20</v>
      </c>
      <c r="K2" s="14">
        <v>30</v>
      </c>
      <c r="L2" s="23">
        <v>50</v>
      </c>
      <c r="M2" s="17">
        <v>2.8339762260884145</v>
      </c>
      <c r="N2" s="12">
        <v>18</v>
      </c>
      <c r="O2" s="12">
        <v>15</v>
      </c>
      <c r="P2" s="12">
        <v>10</v>
      </c>
      <c r="Q2" s="12">
        <v>111</v>
      </c>
      <c r="R2" s="12">
        <v>46</v>
      </c>
      <c r="S2" s="12">
        <v>31</v>
      </c>
      <c r="T2" s="12">
        <v>125</v>
      </c>
      <c r="U2" s="15">
        <v>0.18018018018018017</v>
      </c>
      <c r="V2" s="15">
        <v>0.10638297872340426</v>
      </c>
      <c r="W2" s="16">
        <v>1058.5833333333001</v>
      </c>
      <c r="X2" s="16">
        <v>13.232291666666251</v>
      </c>
      <c r="Y2" s="16">
        <v>996.17</v>
      </c>
      <c r="Z2" s="16">
        <v>12.452124999999999</v>
      </c>
      <c r="AA2" s="16">
        <v>2781.68</v>
      </c>
      <c r="AB2" s="16">
        <v>34.771000000000001</v>
      </c>
      <c r="AC2" s="19">
        <v>0.26368701774819009</v>
      </c>
      <c r="AD2" s="18">
        <v>141.81818181818181</v>
      </c>
      <c r="AE2" s="11">
        <v>38</v>
      </c>
      <c r="AF2" s="12">
        <v>41</v>
      </c>
      <c r="AG2" s="12">
        <v>74</v>
      </c>
      <c r="AH2" s="12">
        <v>32</v>
      </c>
      <c r="AI2" s="12">
        <v>71</v>
      </c>
      <c r="AJ2" s="15">
        <v>0.36363636363636365</v>
      </c>
      <c r="AK2" s="15">
        <v>0.45454545454545453</v>
      </c>
      <c r="AL2" s="15">
        <v>0.81818181818181812</v>
      </c>
      <c r="AM2" s="12">
        <v>316</v>
      </c>
      <c r="AN2" s="19">
        <v>0.33617021276595743</v>
      </c>
      <c r="AO2" s="12">
        <v>289</v>
      </c>
      <c r="AP2" s="19">
        <v>0.30744680851063833</v>
      </c>
      <c r="AQ2" s="12">
        <v>335</v>
      </c>
      <c r="AR2" s="19">
        <v>0.35638297872340424</v>
      </c>
      <c r="AS2" s="19">
        <v>0.52231404958677685</v>
      </c>
      <c r="AT2" s="12">
        <v>11</v>
      </c>
      <c r="AU2" s="13">
        <v>2.87</v>
      </c>
      <c r="AV2" s="24">
        <v>360</v>
      </c>
      <c r="AW2" s="24">
        <v>384</v>
      </c>
      <c r="AX2" s="24">
        <v>338</v>
      </c>
      <c r="AY2" s="19">
        <v>0.4838709677419355</v>
      </c>
      <c r="AZ2" s="20">
        <v>17.579999999999998</v>
      </c>
      <c r="BA2" s="25">
        <v>5</v>
      </c>
      <c r="BB2" s="24">
        <v>0.502</v>
      </c>
      <c r="BC2" s="12">
        <v>7</v>
      </c>
      <c r="BD2" s="26">
        <v>-0.46600000000000003</v>
      </c>
      <c r="BE2" s="16">
        <v>49.66</v>
      </c>
      <c r="BF2" s="20">
        <v>18.52</v>
      </c>
      <c r="BG2" s="26">
        <v>0.81800000000000006</v>
      </c>
      <c r="BH2" s="26">
        <v>0.89600000000000002</v>
      </c>
      <c r="BI2" s="16">
        <v>51.29</v>
      </c>
      <c r="BJ2" s="19">
        <v>0.10576923076923077</v>
      </c>
      <c r="BK2" s="27">
        <v>0.92393320964749537</v>
      </c>
      <c r="BL2" s="25">
        <v>1029.7024404167262</v>
      </c>
      <c r="BM2" s="19">
        <v>2.9702440416726136E-2</v>
      </c>
      <c r="BN2" s="20">
        <v>3.3126875934830409</v>
      </c>
      <c r="BO2" s="20">
        <v>2.4694580242328121</v>
      </c>
      <c r="BP2" s="16">
        <v>31.3199554292942</v>
      </c>
      <c r="BQ2" s="16">
        <v>32.464338416133799</v>
      </c>
      <c r="BR2" s="16">
        <v>59.387453948623239</v>
      </c>
      <c r="BS2" s="16">
        <v>55.171306102372093</v>
      </c>
      <c r="BT2" s="16">
        <v>4.2161478462511468</v>
      </c>
      <c r="BU2" s="12">
        <v>55</v>
      </c>
      <c r="BV2" s="12">
        <v>41</v>
      </c>
      <c r="BW2" s="25">
        <v>465</v>
      </c>
      <c r="BX2" s="25">
        <v>498</v>
      </c>
      <c r="BY2" s="25">
        <v>202</v>
      </c>
      <c r="BZ2" s="25">
        <v>179</v>
      </c>
      <c r="CA2" s="25">
        <v>198</v>
      </c>
      <c r="CB2" s="25">
        <v>264</v>
      </c>
      <c r="CC2" s="12">
        <v>469</v>
      </c>
      <c r="CD2" s="12">
        <v>433</v>
      </c>
      <c r="CE2" s="19">
        <v>0.51995565410199551</v>
      </c>
      <c r="CF2" s="13">
        <v>0.76</v>
      </c>
      <c r="CG2" s="28">
        <v>2.2286106561685024</v>
      </c>
      <c r="CH2" s="20">
        <v>2.2432486842483677</v>
      </c>
      <c r="CI2" s="20">
        <v>2.2216789853613643</v>
      </c>
      <c r="CJ2" s="20">
        <v>29.075954099680768</v>
      </c>
      <c r="CK2" s="20">
        <v>31.491760375025159</v>
      </c>
      <c r="CL2" s="20">
        <v>55.520404935147099</v>
      </c>
      <c r="CM2" s="20">
        <v>55.908659515113165</v>
      </c>
      <c r="CN2" s="16">
        <v>4.604402426217213</v>
      </c>
      <c r="CO2" s="25">
        <v>104</v>
      </c>
      <c r="CP2" s="25">
        <v>103</v>
      </c>
      <c r="CQ2" s="25">
        <v>1244</v>
      </c>
      <c r="CR2" s="25">
        <v>1357</v>
      </c>
      <c r="CS2" s="25">
        <v>498</v>
      </c>
      <c r="CT2" s="25">
        <v>517</v>
      </c>
      <c r="CU2" s="25">
        <v>615</v>
      </c>
      <c r="CV2" s="25">
        <v>728</v>
      </c>
      <c r="CW2" s="12">
        <v>2</v>
      </c>
      <c r="CX2" s="12">
        <v>9</v>
      </c>
      <c r="CY2" s="25">
        <v>7</v>
      </c>
      <c r="CZ2" s="20">
        <v>0.11335904904353658</v>
      </c>
      <c r="DA2" s="20">
        <v>0.5101157206959146</v>
      </c>
      <c r="DB2" s="20">
        <v>0.39675667165237805</v>
      </c>
      <c r="DC2" s="14">
        <v>41</v>
      </c>
      <c r="DD2" s="14">
        <v>40</v>
      </c>
      <c r="DE2" s="21">
        <v>34.119999999999997</v>
      </c>
      <c r="DF2" s="21">
        <v>38.799999999999997</v>
      </c>
      <c r="DG2" s="21">
        <v>39.14</v>
      </c>
      <c r="DH2" s="21">
        <v>40.81</v>
      </c>
      <c r="DI2" s="14">
        <v>4</v>
      </c>
      <c r="DJ2" s="14">
        <v>7</v>
      </c>
      <c r="DK2" s="19">
        <v>0.36363636363636365</v>
      </c>
      <c r="DL2" s="25">
        <v>5</v>
      </c>
      <c r="DM2" s="25">
        <v>2</v>
      </c>
      <c r="DN2" s="14">
        <v>4</v>
      </c>
      <c r="DO2" s="14">
        <v>0</v>
      </c>
      <c r="DP2" s="14">
        <v>0.8</v>
      </c>
      <c r="DQ2" s="14">
        <v>0</v>
      </c>
      <c r="DR2" s="14">
        <v>0</v>
      </c>
      <c r="DS2" s="14">
        <v>0</v>
      </c>
      <c r="DT2" s="14">
        <v>4</v>
      </c>
      <c r="DU2" s="29">
        <v>2</v>
      </c>
      <c r="DV2" s="14">
        <v>0</v>
      </c>
      <c r="DW2" s="14">
        <v>1</v>
      </c>
      <c r="DX2" s="14">
        <v>-0.25</v>
      </c>
      <c r="DY2" s="14">
        <v>0</v>
      </c>
      <c r="DZ2" s="14">
        <v>0</v>
      </c>
      <c r="EA2" s="14">
        <v>0</v>
      </c>
    </row>
    <row r="3" spans="1:131" ht="26.25" x14ac:dyDescent="0.25">
      <c r="A3" s="33" t="s">
        <v>133</v>
      </c>
      <c r="B3" s="33" t="s">
        <v>134</v>
      </c>
      <c r="C3" s="41" t="s">
        <v>135</v>
      </c>
      <c r="D3" s="31" t="s">
        <v>136</v>
      </c>
      <c r="E3" s="33" t="s">
        <v>137</v>
      </c>
      <c r="F3" s="941">
        <f>(64/80)</f>
        <v>0.8</v>
      </c>
      <c r="G3" s="941" t="s">
        <v>457</v>
      </c>
      <c r="H3" s="941">
        <f>(80/40)</f>
        <v>2</v>
      </c>
      <c r="I3" s="33">
        <v>80</v>
      </c>
      <c r="J3" s="33">
        <v>16</v>
      </c>
      <c r="K3" s="33">
        <v>27</v>
      </c>
      <c r="L3" s="42">
        <v>43</v>
      </c>
      <c r="M3" s="36">
        <v>2.1632801363929164</v>
      </c>
      <c r="N3" s="31">
        <v>13</v>
      </c>
      <c r="O3" s="31">
        <v>11</v>
      </c>
      <c r="P3" s="31">
        <v>8</v>
      </c>
      <c r="Q3" s="31">
        <v>115</v>
      </c>
      <c r="R3" s="31">
        <v>39</v>
      </c>
      <c r="S3" s="31">
        <v>53</v>
      </c>
      <c r="T3" s="31">
        <v>125</v>
      </c>
      <c r="U3" s="34">
        <v>0.1391304347826087</v>
      </c>
      <c r="V3" s="34">
        <v>7.7294685990338161E-2</v>
      </c>
      <c r="W3" s="35">
        <v>1192.6333333333</v>
      </c>
      <c r="X3" s="35">
        <v>14.907916666666249</v>
      </c>
      <c r="Y3" s="35">
        <v>1102.5899999999999</v>
      </c>
      <c r="Z3" s="35">
        <v>13.782374999999998</v>
      </c>
      <c r="AA3" s="35">
        <v>2820.44</v>
      </c>
      <c r="AB3" s="35">
        <v>35.255499999999998</v>
      </c>
      <c r="AC3" s="38">
        <v>0.28105571458795875</v>
      </c>
      <c r="AD3" s="37">
        <v>103.77358490566039</v>
      </c>
      <c r="AE3" s="30">
        <v>24</v>
      </c>
      <c r="AF3" s="31">
        <v>11</v>
      </c>
      <c r="AG3" s="31">
        <v>37</v>
      </c>
      <c r="AH3" s="31">
        <v>50</v>
      </c>
      <c r="AI3" s="31">
        <v>58</v>
      </c>
      <c r="AJ3" s="34">
        <v>0.30188679245283018</v>
      </c>
      <c r="AK3" s="34">
        <v>0.35849056603773582</v>
      </c>
      <c r="AL3" s="34">
        <v>0.660377358490566</v>
      </c>
      <c r="AM3" s="31">
        <v>445</v>
      </c>
      <c r="AN3" s="38">
        <v>0.38594969644405897</v>
      </c>
      <c r="AO3" s="31">
        <v>350</v>
      </c>
      <c r="AP3" s="38">
        <v>0.30355594102341715</v>
      </c>
      <c r="AQ3" s="31">
        <v>358</v>
      </c>
      <c r="AR3" s="38">
        <v>0.31049436253252383</v>
      </c>
      <c r="AS3" s="38">
        <v>0.55974842767295596</v>
      </c>
      <c r="AT3" s="31">
        <v>14</v>
      </c>
      <c r="AU3" s="32">
        <v>15.77</v>
      </c>
      <c r="AV3" s="43">
        <v>456</v>
      </c>
      <c r="AW3" s="43">
        <v>446</v>
      </c>
      <c r="AX3" s="43">
        <v>334</v>
      </c>
      <c r="AY3" s="38">
        <v>0.50554323725055428</v>
      </c>
      <c r="AZ3" s="39">
        <v>17.559999999999999</v>
      </c>
      <c r="BA3" s="44">
        <v>4</v>
      </c>
      <c r="BB3" s="43">
        <v>0.373</v>
      </c>
      <c r="BC3" s="31">
        <v>6</v>
      </c>
      <c r="BD3" s="45">
        <v>0.77200000000000002</v>
      </c>
      <c r="BE3" s="35">
        <v>50.26</v>
      </c>
      <c r="BF3" s="39">
        <v>19.010000000000002</v>
      </c>
      <c r="BG3" s="45">
        <v>1.046</v>
      </c>
      <c r="BH3" s="45">
        <v>-10.978999999999999</v>
      </c>
      <c r="BI3" s="35">
        <v>45.51</v>
      </c>
      <c r="BJ3" s="38">
        <v>0.106</v>
      </c>
      <c r="BK3" s="46">
        <v>0.91862567811934903</v>
      </c>
      <c r="BL3" s="44">
        <v>1024.625678119349</v>
      </c>
      <c r="BM3" s="38">
        <v>2.4625678119349029E-2</v>
      </c>
      <c r="BN3" s="39">
        <v>2.8841183032677611</v>
      </c>
      <c r="BO3" s="39">
        <v>2.4487796914537592</v>
      </c>
      <c r="BP3" s="35">
        <v>27.208663238375102</v>
      </c>
      <c r="BQ3" s="35">
        <v>30.092781541642857</v>
      </c>
      <c r="BR3" s="35">
        <v>54.362909150273452</v>
      </c>
      <c r="BS3" s="35">
        <v>62.579925448262735</v>
      </c>
      <c r="BT3" s="35">
        <v>-8.2170162979892822</v>
      </c>
      <c r="BU3" s="31">
        <v>53</v>
      </c>
      <c r="BV3" s="31">
        <v>45</v>
      </c>
      <c r="BW3" s="44">
        <v>447</v>
      </c>
      <c r="BX3" s="44">
        <v>508</v>
      </c>
      <c r="BY3" s="44">
        <v>216</v>
      </c>
      <c r="BZ3" s="44">
        <v>249</v>
      </c>
      <c r="CA3" s="44">
        <v>348</v>
      </c>
      <c r="CB3" s="44">
        <v>283</v>
      </c>
      <c r="CC3" s="31">
        <v>498</v>
      </c>
      <c r="CD3" s="31">
        <v>557</v>
      </c>
      <c r="CE3" s="38">
        <v>0.47203791469194312</v>
      </c>
      <c r="CF3" s="32">
        <v>3.05</v>
      </c>
      <c r="CG3" s="47">
        <v>2.0100214378597734</v>
      </c>
      <c r="CH3" s="39">
        <v>2.1911474805349527</v>
      </c>
      <c r="CI3" s="39">
        <v>2.297513863085193</v>
      </c>
      <c r="CJ3" s="39">
        <v>25.230105940917024</v>
      </c>
      <c r="CK3" s="39">
        <v>30.080412985207982</v>
      </c>
      <c r="CL3" s="39">
        <v>49.481641162371837</v>
      </c>
      <c r="CM3" s="39">
        <v>64.032562295244716</v>
      </c>
      <c r="CN3" s="35">
        <v>6.3339048348835973</v>
      </c>
      <c r="CO3" s="44">
        <v>103</v>
      </c>
      <c r="CP3" s="44">
        <v>108</v>
      </c>
      <c r="CQ3" s="44">
        <v>1083</v>
      </c>
      <c r="CR3" s="44">
        <v>1306</v>
      </c>
      <c r="CS3" s="44">
        <v>470</v>
      </c>
      <c r="CT3" s="44">
        <v>613</v>
      </c>
      <c r="CU3" s="44">
        <v>983</v>
      </c>
      <c r="CV3" s="44">
        <v>670</v>
      </c>
      <c r="CW3" s="31">
        <v>6</v>
      </c>
      <c r="CX3" s="31">
        <v>17</v>
      </c>
      <c r="CY3" s="44">
        <v>11</v>
      </c>
      <c r="CZ3" s="39">
        <v>0.30185304228738374</v>
      </c>
      <c r="DA3" s="39">
        <v>0.85525028648092061</v>
      </c>
      <c r="DB3" s="39">
        <v>0.55339724419353675</v>
      </c>
      <c r="DC3" s="33">
        <v>41</v>
      </c>
      <c r="DD3" s="33">
        <v>45</v>
      </c>
      <c r="DE3" s="40">
        <v>43.87</v>
      </c>
      <c r="DF3" s="40">
        <v>38.71</v>
      </c>
      <c r="DG3" s="40">
        <v>36.68</v>
      </c>
      <c r="DH3" s="40">
        <v>46.64</v>
      </c>
      <c r="DI3" s="33">
        <v>3</v>
      </c>
      <c r="DJ3" s="33">
        <v>4</v>
      </c>
      <c r="DK3" s="38">
        <v>0.42857142857142855</v>
      </c>
      <c r="DL3" s="44">
        <v>6</v>
      </c>
      <c r="DM3" s="44">
        <v>3</v>
      </c>
      <c r="DN3" s="33">
        <v>1</v>
      </c>
      <c r="DO3" s="33">
        <v>0</v>
      </c>
      <c r="DP3" s="33">
        <v>0.16700000000000001</v>
      </c>
      <c r="DQ3" s="33">
        <v>0</v>
      </c>
      <c r="DR3" s="33">
        <v>0</v>
      </c>
      <c r="DS3" s="33">
        <v>0</v>
      </c>
      <c r="DT3" s="31"/>
      <c r="DU3" s="44"/>
      <c r="DV3" s="31"/>
      <c r="DW3" s="31"/>
      <c r="DX3" s="31"/>
      <c r="DY3" s="31"/>
      <c r="DZ3" s="31"/>
      <c r="EA3" s="33"/>
    </row>
    <row r="4" spans="1:131" ht="26.25" x14ac:dyDescent="0.25">
      <c r="A4" s="51" t="s">
        <v>138</v>
      </c>
      <c r="B4" s="51" t="s">
        <v>139</v>
      </c>
      <c r="C4" s="59" t="s">
        <v>140</v>
      </c>
      <c r="D4" s="49" t="s">
        <v>141</v>
      </c>
      <c r="E4" s="51" t="s">
        <v>142</v>
      </c>
      <c r="F4" s="941">
        <f>(63/82)</f>
        <v>0.76829268292682928</v>
      </c>
      <c r="G4" s="941" t="s">
        <v>456</v>
      </c>
      <c r="H4" s="941">
        <f>(34/47)</f>
        <v>0.72340425531914898</v>
      </c>
      <c r="I4" s="51">
        <v>82</v>
      </c>
      <c r="J4" s="51">
        <v>20</v>
      </c>
      <c r="K4" s="51">
        <v>24</v>
      </c>
      <c r="L4" s="60">
        <v>44</v>
      </c>
      <c r="M4" s="54">
        <v>2.22415681428846</v>
      </c>
      <c r="N4" s="49">
        <v>19</v>
      </c>
      <c r="O4" s="49">
        <v>13</v>
      </c>
      <c r="P4" s="49">
        <v>9</v>
      </c>
      <c r="Q4" s="49">
        <v>180</v>
      </c>
      <c r="R4" s="49">
        <v>103</v>
      </c>
      <c r="S4" s="49">
        <v>79</v>
      </c>
      <c r="T4" s="49">
        <v>203</v>
      </c>
      <c r="U4" s="52">
        <v>0.1111111111111111</v>
      </c>
      <c r="V4" s="52">
        <v>5.5248618784530384E-2</v>
      </c>
      <c r="W4" s="53">
        <v>1186.9666666666999</v>
      </c>
      <c r="X4" s="53">
        <v>14.475203252032925</v>
      </c>
      <c r="Y4" s="53">
        <v>1114.23</v>
      </c>
      <c r="Z4" s="53">
        <v>13.588170731707317</v>
      </c>
      <c r="AA4" s="53">
        <v>2840.35</v>
      </c>
      <c r="AB4" s="53">
        <v>34.638414634146343</v>
      </c>
      <c r="AC4" s="56">
        <v>0.28175684902062925</v>
      </c>
      <c r="AD4" s="55">
        <v>139.59016393442624</v>
      </c>
      <c r="AE4" s="48">
        <v>25</v>
      </c>
      <c r="AF4" s="49">
        <v>102</v>
      </c>
      <c r="AG4" s="49">
        <v>96</v>
      </c>
      <c r="AH4" s="49">
        <v>39</v>
      </c>
      <c r="AI4" s="49">
        <v>43</v>
      </c>
      <c r="AJ4" s="52">
        <v>0.32786885245901637</v>
      </c>
      <c r="AK4" s="52">
        <v>0.36065573770491804</v>
      </c>
      <c r="AL4" s="52">
        <v>0.68852459016393441</v>
      </c>
      <c r="AM4" s="49">
        <v>491</v>
      </c>
      <c r="AN4" s="56">
        <v>0.44154676258992803</v>
      </c>
      <c r="AO4" s="49">
        <v>224</v>
      </c>
      <c r="AP4" s="56">
        <v>0.20143884892086331</v>
      </c>
      <c r="AQ4" s="49">
        <v>397</v>
      </c>
      <c r="AR4" s="56">
        <v>0.35701438848920863</v>
      </c>
      <c r="AS4" s="56">
        <v>0.68671328671328669</v>
      </c>
      <c r="AT4" s="49">
        <v>13</v>
      </c>
      <c r="AU4" s="50">
        <v>24.16</v>
      </c>
      <c r="AV4" s="61">
        <v>500</v>
      </c>
      <c r="AW4" s="61">
        <v>407</v>
      </c>
      <c r="AX4" s="61">
        <v>364</v>
      </c>
      <c r="AY4" s="56">
        <v>0.55126791620727678</v>
      </c>
      <c r="AZ4" s="57">
        <v>17.559999999999999</v>
      </c>
      <c r="BA4" s="62">
        <v>3</v>
      </c>
      <c r="BB4" s="61">
        <v>0.115</v>
      </c>
      <c r="BC4" s="49">
        <v>13</v>
      </c>
      <c r="BD4" s="63">
        <v>-0.183</v>
      </c>
      <c r="BE4" s="53">
        <v>49.89</v>
      </c>
      <c r="BF4" s="57">
        <v>18.850000000000001</v>
      </c>
      <c r="BG4" s="63">
        <v>5.3970000000000002</v>
      </c>
      <c r="BH4" s="63">
        <v>9.4060000000000006</v>
      </c>
      <c r="BI4" s="53">
        <v>53.17</v>
      </c>
      <c r="BJ4" s="56">
        <v>9.3129770992366412E-2</v>
      </c>
      <c r="BK4" s="64">
        <v>0.92668024439918528</v>
      </c>
      <c r="BL4" s="62">
        <v>1019.8100153915517</v>
      </c>
      <c r="BM4" s="56">
        <v>1.9810015391551694E-2</v>
      </c>
      <c r="BN4" s="57">
        <v>3.2847796235965645</v>
      </c>
      <c r="BO4" s="57">
        <v>1.9385584663848578</v>
      </c>
      <c r="BP4" s="53">
        <v>35.27099431894672</v>
      </c>
      <c r="BQ4" s="53">
        <v>26.439783527637921</v>
      </c>
      <c r="BR4" s="53">
        <v>67.095662475431453</v>
      </c>
      <c r="BS4" s="53">
        <v>50.510217818583236</v>
      </c>
      <c r="BT4" s="53">
        <v>16.585444656848217</v>
      </c>
      <c r="BU4" s="49">
        <v>61</v>
      </c>
      <c r="BV4" s="49">
        <v>36</v>
      </c>
      <c r="BW4" s="62">
        <v>594</v>
      </c>
      <c r="BX4" s="62">
        <v>455</v>
      </c>
      <c r="BY4" s="62">
        <v>260</v>
      </c>
      <c r="BZ4" s="62">
        <v>203</v>
      </c>
      <c r="CA4" s="62">
        <v>244</v>
      </c>
      <c r="CB4" s="62">
        <v>331</v>
      </c>
      <c r="CC4" s="49">
        <v>596</v>
      </c>
      <c r="CD4" s="49">
        <v>436</v>
      </c>
      <c r="CE4" s="56">
        <v>0.57751937984496127</v>
      </c>
      <c r="CF4" s="50">
        <v>5.4</v>
      </c>
      <c r="CG4" s="65">
        <v>2.4253257757293358</v>
      </c>
      <c r="CH4" s="57">
        <v>2.3025331385216607</v>
      </c>
      <c r="CI4" s="57">
        <v>2.091291566180224</v>
      </c>
      <c r="CJ4" s="57">
        <v>29.827310014610873</v>
      </c>
      <c r="CK4" s="57">
        <v>28.792226310137831</v>
      </c>
      <c r="CL4" s="57">
        <v>55.91564419877831</v>
      </c>
      <c r="CM4" s="57">
        <v>54.669318921963836</v>
      </c>
      <c r="CN4" s="53">
        <v>15.339119380033743</v>
      </c>
      <c r="CO4" s="62">
        <v>109</v>
      </c>
      <c r="CP4" s="62">
        <v>99</v>
      </c>
      <c r="CQ4" s="62">
        <v>1303</v>
      </c>
      <c r="CR4" s="62">
        <v>1264</v>
      </c>
      <c r="CS4" s="62">
        <v>538</v>
      </c>
      <c r="CT4" s="62">
        <v>514</v>
      </c>
      <c r="CU4" s="62">
        <v>711</v>
      </c>
      <c r="CV4" s="62">
        <v>697</v>
      </c>
      <c r="CW4" s="49">
        <v>5</v>
      </c>
      <c r="CX4" s="49">
        <v>18</v>
      </c>
      <c r="CY4" s="62">
        <v>13</v>
      </c>
      <c r="CZ4" s="57">
        <v>0.2527450925327796</v>
      </c>
      <c r="DA4" s="57">
        <v>0.90988233311800648</v>
      </c>
      <c r="DB4" s="57">
        <v>0.65713724058522693</v>
      </c>
      <c r="DC4" s="51">
        <v>49</v>
      </c>
      <c r="DD4" s="51">
        <v>38</v>
      </c>
      <c r="DE4" s="58">
        <v>48.11</v>
      </c>
      <c r="DF4" s="58">
        <v>40.76</v>
      </c>
      <c r="DG4" s="58">
        <v>44.99</v>
      </c>
      <c r="DH4" s="58">
        <v>38.19</v>
      </c>
      <c r="DI4" s="51">
        <v>3</v>
      </c>
      <c r="DJ4" s="51">
        <v>2</v>
      </c>
      <c r="DK4" s="56">
        <v>0.6</v>
      </c>
      <c r="DL4" s="62">
        <v>5</v>
      </c>
      <c r="DM4" s="62">
        <v>3</v>
      </c>
      <c r="DN4" s="51">
        <v>4</v>
      </c>
      <c r="DO4" s="51">
        <v>0</v>
      </c>
      <c r="DP4" s="51">
        <v>0.8</v>
      </c>
      <c r="DQ4" s="51">
        <v>0</v>
      </c>
      <c r="DR4" s="51">
        <v>0</v>
      </c>
      <c r="DS4" s="51">
        <v>0</v>
      </c>
      <c r="DT4" s="49"/>
      <c r="DU4" s="62"/>
      <c r="DV4" s="49"/>
      <c r="DW4" s="49"/>
      <c r="DX4" s="49"/>
      <c r="DY4" s="49"/>
      <c r="DZ4" s="49"/>
      <c r="EA4" s="51"/>
    </row>
    <row r="5" spans="1:131" ht="26.25" x14ac:dyDescent="0.25">
      <c r="A5" s="69" t="s">
        <v>143</v>
      </c>
      <c r="B5" s="69" t="s">
        <v>144</v>
      </c>
      <c r="C5" s="77" t="s">
        <v>145</v>
      </c>
      <c r="D5" s="67" t="s">
        <v>131</v>
      </c>
      <c r="E5" s="69" t="s">
        <v>146</v>
      </c>
      <c r="F5" s="941">
        <f>(48/79)</f>
        <v>0.60759493670886078</v>
      </c>
      <c r="G5" s="941" t="s">
        <v>456</v>
      </c>
      <c r="H5" s="941">
        <f>(67/51)</f>
        <v>1.3137254901960784</v>
      </c>
      <c r="I5" s="69">
        <v>79</v>
      </c>
      <c r="J5" s="69">
        <v>26</v>
      </c>
      <c r="K5" s="69">
        <v>19</v>
      </c>
      <c r="L5" s="78">
        <v>45</v>
      </c>
      <c r="M5" s="72">
        <v>2.6815864397800873</v>
      </c>
      <c r="N5" s="67">
        <v>22</v>
      </c>
      <c r="O5" s="67">
        <v>12</v>
      </c>
      <c r="P5" s="67">
        <v>5</v>
      </c>
      <c r="Q5" s="67">
        <v>158</v>
      </c>
      <c r="R5" s="67">
        <v>48</v>
      </c>
      <c r="S5" s="67">
        <v>83</v>
      </c>
      <c r="T5" s="67">
        <v>174</v>
      </c>
      <c r="U5" s="70">
        <v>0.16455696202531644</v>
      </c>
      <c r="V5" s="70">
        <v>8.9965397923875437E-2</v>
      </c>
      <c r="W5" s="71">
        <v>1006.8666666667</v>
      </c>
      <c r="X5" s="71">
        <v>12.745147679325317</v>
      </c>
      <c r="Y5" s="71">
        <v>922.55</v>
      </c>
      <c r="Z5" s="71">
        <v>11.677848101265822</v>
      </c>
      <c r="AA5" s="71">
        <v>2811.13</v>
      </c>
      <c r="AB5" s="71">
        <v>35.583924050632916</v>
      </c>
      <c r="AC5" s="74">
        <v>0.24708866319556036</v>
      </c>
      <c r="AD5" s="73">
        <v>114.35294117647059</v>
      </c>
      <c r="AE5" s="66">
        <v>33</v>
      </c>
      <c r="AF5" s="67">
        <v>39</v>
      </c>
      <c r="AG5" s="67">
        <v>67</v>
      </c>
      <c r="AH5" s="67">
        <v>37</v>
      </c>
      <c r="AI5" s="67">
        <v>51</v>
      </c>
      <c r="AJ5" s="70">
        <v>0.50980392156862742</v>
      </c>
      <c r="AK5" s="70">
        <v>0.33333333333333331</v>
      </c>
      <c r="AL5" s="70">
        <v>0.84313725490196068</v>
      </c>
      <c r="AM5" s="67">
        <v>337</v>
      </c>
      <c r="AN5" s="74">
        <v>0.38208616780045351</v>
      </c>
      <c r="AO5" s="67">
        <v>237</v>
      </c>
      <c r="AP5" s="74">
        <v>0.2687074829931973</v>
      </c>
      <c r="AQ5" s="67">
        <v>308</v>
      </c>
      <c r="AR5" s="74">
        <v>0.34920634920634919</v>
      </c>
      <c r="AS5" s="74">
        <v>0.58710801393728218</v>
      </c>
      <c r="AT5" s="67">
        <v>15</v>
      </c>
      <c r="AU5" s="68">
        <v>11.74</v>
      </c>
      <c r="AV5" s="79">
        <v>367</v>
      </c>
      <c r="AW5" s="79">
        <v>324</v>
      </c>
      <c r="AX5" s="79">
        <v>299</v>
      </c>
      <c r="AY5" s="74">
        <v>0.53111432706222861</v>
      </c>
      <c r="AZ5" s="75">
        <v>17.38</v>
      </c>
      <c r="BA5" s="80">
        <v>7</v>
      </c>
      <c r="BB5" s="79">
        <v>0.52300000000000002</v>
      </c>
      <c r="BC5" s="67">
        <v>6</v>
      </c>
      <c r="BD5" s="81">
        <v>9.0000000000000011E-3</v>
      </c>
      <c r="BE5" s="71">
        <v>49.8</v>
      </c>
      <c r="BF5" s="75">
        <v>18.05</v>
      </c>
      <c r="BG5" s="81">
        <v>0.22</v>
      </c>
      <c r="BH5" s="81">
        <v>0.48699999999999999</v>
      </c>
      <c r="BI5" s="71">
        <v>50.68</v>
      </c>
      <c r="BJ5" s="74">
        <v>0.10493827160493827</v>
      </c>
      <c r="BK5" s="82">
        <v>0.92931392931392931</v>
      </c>
      <c r="BL5" s="80">
        <v>1034.2522009188676</v>
      </c>
      <c r="BM5" s="74">
        <v>3.4252200918867576E-2</v>
      </c>
      <c r="BN5" s="75">
        <v>3.3168933933120157</v>
      </c>
      <c r="BO5" s="75">
        <v>2.2112622622080105</v>
      </c>
      <c r="BP5" s="71">
        <v>31.60804292450274</v>
      </c>
      <c r="BQ5" s="71">
        <v>31.282857297707444</v>
      </c>
      <c r="BR5" s="71">
        <v>59.313858327461929</v>
      </c>
      <c r="BS5" s="71">
        <v>55.411630805918378</v>
      </c>
      <c r="BT5" s="71">
        <v>3.9022275215435513</v>
      </c>
      <c r="BU5" s="67">
        <v>51</v>
      </c>
      <c r="BV5" s="67">
        <v>34</v>
      </c>
      <c r="BW5" s="80">
        <v>435</v>
      </c>
      <c r="BX5" s="80">
        <v>447</v>
      </c>
      <c r="BY5" s="80">
        <v>170</v>
      </c>
      <c r="BZ5" s="80">
        <v>160</v>
      </c>
      <c r="CA5" s="80">
        <v>211</v>
      </c>
      <c r="CB5" s="80">
        <v>256</v>
      </c>
      <c r="CC5" s="67">
        <v>472</v>
      </c>
      <c r="CD5" s="67">
        <v>379</v>
      </c>
      <c r="CE5" s="74">
        <v>0.55464159811985903</v>
      </c>
      <c r="CF5" s="68">
        <v>5.17</v>
      </c>
      <c r="CG5" s="83">
        <v>1.2436351870487794</v>
      </c>
      <c r="CH5" s="75">
        <v>2.2624353907503383</v>
      </c>
      <c r="CI5" s="75">
        <v>2.3264665810545933</v>
      </c>
      <c r="CJ5" s="75">
        <v>28.942098017523197</v>
      </c>
      <c r="CK5" s="75">
        <v>32.442469754155795</v>
      </c>
      <c r="CL5" s="75">
        <v>55.515041993788962</v>
      </c>
      <c r="CM5" s="75">
        <v>56.496853578454207</v>
      </c>
      <c r="CN5" s="71">
        <v>4.884039106208796</v>
      </c>
      <c r="CO5" s="80">
        <v>106</v>
      </c>
      <c r="CP5" s="80">
        <v>109</v>
      </c>
      <c r="CQ5" s="80">
        <v>1250</v>
      </c>
      <c r="CR5" s="80">
        <v>1411</v>
      </c>
      <c r="CS5" s="80">
        <v>521</v>
      </c>
      <c r="CT5" s="80">
        <v>526</v>
      </c>
      <c r="CU5" s="80">
        <v>601</v>
      </c>
      <c r="CV5" s="80">
        <v>724</v>
      </c>
      <c r="CW5" s="67">
        <v>4</v>
      </c>
      <c r="CX5" s="67">
        <v>8</v>
      </c>
      <c r="CY5" s="80">
        <v>4</v>
      </c>
      <c r="CZ5" s="75">
        <v>0.23836323909156332</v>
      </c>
      <c r="DA5" s="75">
        <v>0.47672647818312663</v>
      </c>
      <c r="DB5" s="75">
        <v>0.23836323909156332</v>
      </c>
      <c r="DC5" s="69">
        <v>41</v>
      </c>
      <c r="DD5" s="69">
        <v>36</v>
      </c>
      <c r="DE5" s="76">
        <v>31.06</v>
      </c>
      <c r="DF5" s="76">
        <v>36.21</v>
      </c>
      <c r="DG5" s="76">
        <v>34.340000000000003</v>
      </c>
      <c r="DH5" s="76">
        <v>37.46</v>
      </c>
      <c r="DI5" s="69">
        <v>5</v>
      </c>
      <c r="DJ5" s="69">
        <v>7</v>
      </c>
      <c r="DK5" s="74">
        <v>0.41666666666666669</v>
      </c>
      <c r="DL5" s="80">
        <v>8</v>
      </c>
      <c r="DM5" s="80">
        <v>3</v>
      </c>
      <c r="DN5" s="69">
        <v>0</v>
      </c>
      <c r="DO5" s="69">
        <v>0</v>
      </c>
      <c r="DP5" s="69">
        <v>0</v>
      </c>
      <c r="DQ5" s="69">
        <v>0</v>
      </c>
      <c r="DR5" s="69">
        <v>0</v>
      </c>
      <c r="DS5" s="69">
        <v>0</v>
      </c>
      <c r="DT5" s="69">
        <v>1</v>
      </c>
      <c r="DU5" s="84">
        <v>1</v>
      </c>
      <c r="DV5" s="69">
        <v>0</v>
      </c>
      <c r="DW5" s="69">
        <v>0</v>
      </c>
      <c r="DX5" s="69">
        <v>0</v>
      </c>
      <c r="DY5" s="69">
        <v>0</v>
      </c>
      <c r="DZ5" s="69">
        <v>0</v>
      </c>
      <c r="EA5" s="69">
        <v>0</v>
      </c>
    </row>
    <row r="6" spans="1:131" ht="26.25" x14ac:dyDescent="0.25">
      <c r="A6" s="88" t="s">
        <v>147</v>
      </c>
      <c r="B6" s="88" t="s">
        <v>148</v>
      </c>
      <c r="C6" s="96" t="s">
        <v>149</v>
      </c>
      <c r="D6" s="86" t="s">
        <v>150</v>
      </c>
      <c r="E6" s="88" t="s">
        <v>132</v>
      </c>
      <c r="F6" s="941">
        <f>(45/79)</f>
        <v>0.569620253164557</v>
      </c>
      <c r="G6" s="941" t="s">
        <v>457</v>
      </c>
      <c r="H6" s="941">
        <f>(65/40)</f>
        <v>1.625</v>
      </c>
      <c r="I6" s="88">
        <v>79</v>
      </c>
      <c r="J6" s="88">
        <v>15</v>
      </c>
      <c r="K6" s="88">
        <v>24</v>
      </c>
      <c r="L6" s="97">
        <v>39</v>
      </c>
      <c r="M6" s="91">
        <v>2.4715699045874566</v>
      </c>
      <c r="N6" s="86">
        <v>14</v>
      </c>
      <c r="O6" s="86">
        <v>21</v>
      </c>
      <c r="P6" s="86">
        <v>1</v>
      </c>
      <c r="Q6" s="86">
        <v>98</v>
      </c>
      <c r="R6" s="86">
        <v>28</v>
      </c>
      <c r="S6" s="86">
        <v>33</v>
      </c>
      <c r="T6" s="86">
        <v>110</v>
      </c>
      <c r="U6" s="89">
        <v>0.15306122448979592</v>
      </c>
      <c r="V6" s="89">
        <v>9.4339622641509441E-2</v>
      </c>
      <c r="W6" s="90">
        <v>946.76666666669996</v>
      </c>
      <c r="X6" s="90">
        <v>11.98438818565443</v>
      </c>
      <c r="Y6" s="90">
        <v>933.79</v>
      </c>
      <c r="Z6" s="90">
        <v>11.82012658227848</v>
      </c>
      <c r="AA6" s="90">
        <v>2940.86</v>
      </c>
      <c r="AB6" s="90">
        <v>37.226075949367093</v>
      </c>
      <c r="AC6" s="93">
        <v>0.24099983224291222</v>
      </c>
      <c r="AD6" s="92">
        <v>240.00000000000003</v>
      </c>
      <c r="AE6" s="85">
        <v>26</v>
      </c>
      <c r="AF6" s="86">
        <v>55</v>
      </c>
      <c r="AG6" s="86">
        <v>69</v>
      </c>
      <c r="AH6" s="86">
        <v>35</v>
      </c>
      <c r="AI6" s="86">
        <v>38</v>
      </c>
      <c r="AJ6" s="89">
        <v>0.35714285714285715</v>
      </c>
      <c r="AK6" s="89">
        <v>0.52380952380952384</v>
      </c>
      <c r="AL6" s="89">
        <v>0.88095238095238093</v>
      </c>
      <c r="AM6" s="86">
        <v>268</v>
      </c>
      <c r="AN6" s="93">
        <v>0.34941329856584091</v>
      </c>
      <c r="AO6" s="86">
        <v>175</v>
      </c>
      <c r="AP6" s="93">
        <v>0.22816166883963493</v>
      </c>
      <c r="AQ6" s="86">
        <v>324</v>
      </c>
      <c r="AR6" s="93">
        <v>0.42242503259452413</v>
      </c>
      <c r="AS6" s="93">
        <v>0.60496613995485327</v>
      </c>
      <c r="AT6" s="86">
        <v>13</v>
      </c>
      <c r="AU6" s="87">
        <v>13.07</v>
      </c>
      <c r="AV6" s="98">
        <v>339</v>
      </c>
      <c r="AW6" s="98">
        <v>319</v>
      </c>
      <c r="AX6" s="98">
        <v>311</v>
      </c>
      <c r="AY6" s="93">
        <v>0.51519756838905773</v>
      </c>
      <c r="AZ6" s="94">
        <v>17.100000000000001</v>
      </c>
      <c r="BA6" s="99">
        <v>9</v>
      </c>
      <c r="BB6" s="98">
        <v>-6.4000000000000001E-2</v>
      </c>
      <c r="BC6" s="86">
        <v>9</v>
      </c>
      <c r="BD6" s="100">
        <v>8.2000000000000003E-2</v>
      </c>
      <c r="BE6" s="90">
        <v>49.82</v>
      </c>
      <c r="BF6" s="94">
        <v>17.52</v>
      </c>
      <c r="BG6" s="100">
        <v>0.67</v>
      </c>
      <c r="BH6" s="100">
        <v>-0.40900000000000003</v>
      </c>
      <c r="BI6" s="90">
        <v>50.04</v>
      </c>
      <c r="BJ6" s="93">
        <v>8.7499999999999994E-2</v>
      </c>
      <c r="BK6" s="101">
        <v>0.9358974358974359</v>
      </c>
      <c r="BL6" s="99">
        <v>1023.3974358974359</v>
      </c>
      <c r="BM6" s="93">
        <v>2.3397435897435898E-2</v>
      </c>
      <c r="BN6" s="94">
        <v>2.6986795746366963</v>
      </c>
      <c r="BO6" s="94">
        <v>1.9276282675976399</v>
      </c>
      <c r="BP6" s="90">
        <v>30.842052281562239</v>
      </c>
      <c r="BQ6" s="90">
        <v>30.071000974523187</v>
      </c>
      <c r="BR6" s="90">
        <v>55.451439831225443</v>
      </c>
      <c r="BS6" s="90">
        <v>53.331048736868041</v>
      </c>
      <c r="BT6" s="90">
        <v>2.1203910943574016</v>
      </c>
      <c r="BU6" s="86">
        <v>42</v>
      </c>
      <c r="BV6" s="86">
        <v>30</v>
      </c>
      <c r="BW6" s="99">
        <v>438</v>
      </c>
      <c r="BX6" s="99">
        <v>438</v>
      </c>
      <c r="BY6" s="99">
        <v>169</v>
      </c>
      <c r="BZ6" s="99">
        <v>155</v>
      </c>
      <c r="CA6" s="99">
        <v>207</v>
      </c>
      <c r="CB6" s="99">
        <v>214</v>
      </c>
      <c r="CC6" s="86">
        <v>409</v>
      </c>
      <c r="CD6" s="86">
        <v>361</v>
      </c>
      <c r="CE6" s="93">
        <v>0.53116883116883118</v>
      </c>
      <c r="CF6" s="87">
        <v>3.43</v>
      </c>
      <c r="CG6" s="102">
        <v>2.203735440923893E-3</v>
      </c>
      <c r="CH6" s="94">
        <v>2.7951007528410052</v>
      </c>
      <c r="CI6" s="94">
        <v>2.0810239181735954</v>
      </c>
      <c r="CJ6" s="94">
        <v>30.848119257632117</v>
      </c>
      <c r="CK6" s="94">
        <v>30.338064375726827</v>
      </c>
      <c r="CL6" s="94">
        <v>55.840808470991462</v>
      </c>
      <c r="CM6" s="94">
        <v>58.085049951374756</v>
      </c>
      <c r="CN6" s="90">
        <v>4.3646325747406962</v>
      </c>
      <c r="CO6" s="99">
        <v>137</v>
      </c>
      <c r="CP6" s="99">
        <v>102</v>
      </c>
      <c r="CQ6" s="99">
        <v>1375</v>
      </c>
      <c r="CR6" s="99">
        <v>1385</v>
      </c>
      <c r="CS6" s="99">
        <v>535</v>
      </c>
      <c r="CT6" s="99">
        <v>645</v>
      </c>
      <c r="CU6" s="99">
        <v>715</v>
      </c>
      <c r="CV6" s="99">
        <v>690</v>
      </c>
      <c r="CW6" s="86">
        <v>8</v>
      </c>
      <c r="CX6" s="86">
        <v>6</v>
      </c>
      <c r="CY6" s="99">
        <v>-2</v>
      </c>
      <c r="CZ6" s="94">
        <v>0.50698869837691418</v>
      </c>
      <c r="DA6" s="94">
        <v>0.38024152378268561</v>
      </c>
      <c r="DB6" s="94">
        <v>-0.12674717459422855</v>
      </c>
      <c r="DC6" s="88">
        <v>43</v>
      </c>
      <c r="DD6" s="88">
        <v>35</v>
      </c>
      <c r="DE6" s="95">
        <v>39.799999999999997</v>
      </c>
      <c r="DF6" s="95">
        <v>30.7</v>
      </c>
      <c r="DG6" s="95">
        <v>37.950000000000003</v>
      </c>
      <c r="DH6" s="95">
        <v>36.56</v>
      </c>
      <c r="DI6" s="88">
        <v>238</v>
      </c>
      <c r="DJ6" s="88">
        <v>407</v>
      </c>
      <c r="DK6" s="93">
        <v>0.36899224806201553</v>
      </c>
      <c r="DL6" s="99">
        <v>213</v>
      </c>
      <c r="DM6" s="99">
        <v>81</v>
      </c>
      <c r="DN6" s="88">
        <v>26</v>
      </c>
      <c r="DO6" s="88">
        <v>2</v>
      </c>
      <c r="DP6" s="88">
        <v>0.113</v>
      </c>
      <c r="DQ6" s="88">
        <v>3</v>
      </c>
      <c r="DR6" s="88">
        <v>0</v>
      </c>
      <c r="DS6" s="88">
        <v>1.4E-2</v>
      </c>
      <c r="DT6" s="88">
        <v>129</v>
      </c>
      <c r="DU6" s="103">
        <v>52</v>
      </c>
      <c r="DV6" s="88">
        <v>7</v>
      </c>
      <c r="DW6" s="88">
        <v>32</v>
      </c>
      <c r="DX6" s="88">
        <v>-0.19400000000000001</v>
      </c>
      <c r="DY6" s="88">
        <v>0</v>
      </c>
      <c r="DZ6" s="88">
        <v>1</v>
      </c>
      <c r="EA6" s="88">
        <v>-8.0000000000000002E-3</v>
      </c>
    </row>
    <row r="7" spans="1:131" ht="26.25" x14ac:dyDescent="0.25">
      <c r="A7" s="107" t="s">
        <v>151</v>
      </c>
      <c r="B7" s="107" t="s">
        <v>152</v>
      </c>
      <c r="C7" s="115" t="s">
        <v>153</v>
      </c>
      <c r="D7" s="105" t="s">
        <v>154</v>
      </c>
      <c r="E7" s="107" t="s">
        <v>155</v>
      </c>
      <c r="F7" s="941">
        <f>(41/76)</f>
        <v>0.53947368421052633</v>
      </c>
      <c r="G7" s="941" t="s">
        <v>456</v>
      </c>
      <c r="H7" s="941">
        <f>(41/54)</f>
        <v>0.7592592592592593</v>
      </c>
      <c r="I7" s="107">
        <v>76</v>
      </c>
      <c r="J7" s="107">
        <v>20</v>
      </c>
      <c r="K7" s="107">
        <v>15</v>
      </c>
      <c r="L7" s="116">
        <v>35</v>
      </c>
      <c r="M7" s="110">
        <v>2.274450341167551</v>
      </c>
      <c r="N7" s="105">
        <v>17</v>
      </c>
      <c r="O7" s="105">
        <v>7</v>
      </c>
      <c r="P7" s="105">
        <v>7</v>
      </c>
      <c r="Q7" s="105">
        <v>157</v>
      </c>
      <c r="R7" s="105">
        <v>53</v>
      </c>
      <c r="S7" s="105">
        <v>37</v>
      </c>
      <c r="T7" s="105">
        <v>171</v>
      </c>
      <c r="U7" s="108">
        <v>0.12738853503184713</v>
      </c>
      <c r="V7" s="108">
        <v>8.0971659919028341E-2</v>
      </c>
      <c r="W7" s="109">
        <v>923.3</v>
      </c>
      <c r="X7" s="109">
        <v>12.148684210526316</v>
      </c>
      <c r="Y7" s="109">
        <v>910.25</v>
      </c>
      <c r="Z7" s="109">
        <v>11.976973684210526</v>
      </c>
      <c r="AA7" s="109">
        <v>2822.92</v>
      </c>
      <c r="AB7" s="109">
        <v>37.143684210526317</v>
      </c>
      <c r="AC7" s="112">
        <v>0.24382763174460309</v>
      </c>
      <c r="AD7" s="111">
        <v>81</v>
      </c>
      <c r="AE7" s="104">
        <v>27</v>
      </c>
      <c r="AF7" s="105">
        <v>159</v>
      </c>
      <c r="AG7" s="105">
        <v>125</v>
      </c>
      <c r="AH7" s="105">
        <v>17</v>
      </c>
      <c r="AI7" s="105">
        <v>22</v>
      </c>
      <c r="AJ7" s="108">
        <v>0.40816326530612246</v>
      </c>
      <c r="AK7" s="108">
        <v>0.2857142857142857</v>
      </c>
      <c r="AL7" s="108">
        <v>0.69387755102040816</v>
      </c>
      <c r="AM7" s="105">
        <v>327</v>
      </c>
      <c r="AN7" s="112">
        <v>0.38111888111888109</v>
      </c>
      <c r="AO7" s="105">
        <v>238</v>
      </c>
      <c r="AP7" s="112">
        <v>0.27738927738927738</v>
      </c>
      <c r="AQ7" s="105">
        <v>293</v>
      </c>
      <c r="AR7" s="112">
        <v>0.34149184149184147</v>
      </c>
      <c r="AS7" s="112">
        <v>0.57876106194690269</v>
      </c>
      <c r="AT7" s="105">
        <v>11</v>
      </c>
      <c r="AU7" s="106">
        <v>7.54</v>
      </c>
      <c r="AV7" s="117">
        <v>356</v>
      </c>
      <c r="AW7" s="117">
        <v>325</v>
      </c>
      <c r="AX7" s="117">
        <v>286</v>
      </c>
      <c r="AY7" s="112">
        <v>0.52276064610866368</v>
      </c>
      <c r="AZ7" s="113">
        <v>17.34</v>
      </c>
      <c r="BA7" s="118">
        <v>8</v>
      </c>
      <c r="BB7" s="117">
        <v>0.19600000000000001</v>
      </c>
      <c r="BC7" s="105">
        <v>10</v>
      </c>
      <c r="BD7" s="119">
        <v>-0.191</v>
      </c>
      <c r="BE7" s="109">
        <v>49.7</v>
      </c>
      <c r="BF7" s="113">
        <v>17.89</v>
      </c>
      <c r="BG7" s="119">
        <v>1.3180000000000001</v>
      </c>
      <c r="BH7" s="119">
        <v>7.7</v>
      </c>
      <c r="BI7" s="109">
        <v>53.24</v>
      </c>
      <c r="BJ7" s="112">
        <v>8.6419753086419748E-2</v>
      </c>
      <c r="BK7" s="120">
        <v>0.91666666666666663</v>
      </c>
      <c r="BL7" s="118">
        <v>1003.0864197530864</v>
      </c>
      <c r="BM7" s="112">
        <v>3.0864197530863779E-3</v>
      </c>
      <c r="BN7" s="113">
        <v>3.2298819005767649</v>
      </c>
      <c r="BO7" s="113">
        <v>2.3729744575666025</v>
      </c>
      <c r="BP7" s="109">
        <v>37.374347706673994</v>
      </c>
      <c r="BQ7" s="109">
        <v>28.47569349079923</v>
      </c>
      <c r="BR7" s="109">
        <v>66.838780554792635</v>
      </c>
      <c r="BS7" s="109">
        <v>56.687723152979949</v>
      </c>
      <c r="BT7" s="109">
        <v>10.151057401812686</v>
      </c>
      <c r="BU7" s="105">
        <v>49</v>
      </c>
      <c r="BV7" s="105">
        <v>36</v>
      </c>
      <c r="BW7" s="118">
        <v>518</v>
      </c>
      <c r="BX7" s="118">
        <v>396</v>
      </c>
      <c r="BY7" s="118">
        <v>190</v>
      </c>
      <c r="BZ7" s="118">
        <v>172</v>
      </c>
      <c r="CA7" s="118">
        <v>256</v>
      </c>
      <c r="CB7" s="118">
        <v>257</v>
      </c>
      <c r="CC7" s="105">
        <v>523</v>
      </c>
      <c r="CD7" s="105">
        <v>444</v>
      </c>
      <c r="CE7" s="112">
        <v>0.54084798345398144</v>
      </c>
      <c r="CF7" s="106">
        <v>1.27</v>
      </c>
      <c r="CG7" s="121">
        <v>0.2797919150870225</v>
      </c>
      <c r="CH7" s="113">
        <v>2.4442775565726267</v>
      </c>
      <c r="CI7" s="113">
        <v>2.4230229691241694</v>
      </c>
      <c r="CJ7" s="113">
        <v>31.371771073923455</v>
      </c>
      <c r="CK7" s="113">
        <v>27.609709095546453</v>
      </c>
      <c r="CL7" s="113">
        <v>60.511810465758856</v>
      </c>
      <c r="CM7" s="113">
        <v>55.028126904056791</v>
      </c>
      <c r="CN7" s="109">
        <v>4.6673738401106206</v>
      </c>
      <c r="CO7" s="118">
        <v>115</v>
      </c>
      <c r="CP7" s="118">
        <v>114</v>
      </c>
      <c r="CQ7" s="118">
        <v>1361</v>
      </c>
      <c r="CR7" s="118">
        <v>1185</v>
      </c>
      <c r="CS7" s="118">
        <v>600</v>
      </c>
      <c r="CT7" s="118">
        <v>509</v>
      </c>
      <c r="CU7" s="118">
        <v>781</v>
      </c>
      <c r="CV7" s="118">
        <v>771</v>
      </c>
      <c r="CW7" s="105">
        <v>9</v>
      </c>
      <c r="CX7" s="105">
        <v>4</v>
      </c>
      <c r="CY7" s="118">
        <v>-5</v>
      </c>
      <c r="CZ7" s="113">
        <v>0.58485865915737034</v>
      </c>
      <c r="DA7" s="113">
        <v>0.25993718184772019</v>
      </c>
      <c r="DB7" s="113">
        <v>-0.32492147730965021</v>
      </c>
      <c r="DC7" s="107">
        <v>51</v>
      </c>
      <c r="DD7" s="107">
        <v>37</v>
      </c>
      <c r="DE7" s="114">
        <v>40.85</v>
      </c>
      <c r="DF7" s="114">
        <v>38</v>
      </c>
      <c r="DG7" s="114">
        <v>43.85</v>
      </c>
      <c r="DH7" s="114">
        <v>38</v>
      </c>
      <c r="DI7" s="107">
        <v>1</v>
      </c>
      <c r="DJ7" s="107">
        <v>0</v>
      </c>
      <c r="DK7" s="112">
        <v>1</v>
      </c>
      <c r="DL7" s="118"/>
      <c r="DM7" s="118"/>
      <c r="DN7" s="105"/>
      <c r="DO7" s="105"/>
      <c r="DP7" s="105"/>
      <c r="DQ7" s="105"/>
      <c r="DR7" s="105"/>
      <c r="DS7" s="105"/>
      <c r="DT7" s="105"/>
      <c r="DU7" s="118"/>
      <c r="DV7" s="105"/>
      <c r="DW7" s="105"/>
      <c r="DX7" s="105"/>
      <c r="DY7" s="105"/>
      <c r="DZ7" s="105"/>
      <c r="EA7" s="107"/>
    </row>
    <row r="8" spans="1:131" ht="26.25" x14ac:dyDescent="0.25">
      <c r="A8" s="125" t="s">
        <v>156</v>
      </c>
      <c r="B8" s="125" t="s">
        <v>157</v>
      </c>
      <c r="C8" s="133" t="s">
        <v>158</v>
      </c>
      <c r="D8" s="123" t="s">
        <v>159</v>
      </c>
      <c r="E8" s="125" t="s">
        <v>160</v>
      </c>
      <c r="F8" s="941">
        <f>(40/65)</f>
        <v>0.61538461538461542</v>
      </c>
      <c r="G8" s="941" t="s">
        <v>458</v>
      </c>
      <c r="H8" s="941">
        <f>(28/50)</f>
        <v>0.56000000000000005</v>
      </c>
      <c r="I8" s="125">
        <v>65</v>
      </c>
      <c r="J8" s="125">
        <v>9</v>
      </c>
      <c r="K8" s="125">
        <v>19</v>
      </c>
      <c r="L8" s="134">
        <v>28</v>
      </c>
      <c r="M8" s="128">
        <v>1.3783672911254308</v>
      </c>
      <c r="N8" s="123">
        <v>8</v>
      </c>
      <c r="O8" s="123">
        <v>11</v>
      </c>
      <c r="P8" s="123">
        <v>5</v>
      </c>
      <c r="Q8" s="123">
        <v>67</v>
      </c>
      <c r="R8" s="123">
        <v>27</v>
      </c>
      <c r="S8" s="123">
        <v>72</v>
      </c>
      <c r="T8" s="123">
        <v>56</v>
      </c>
      <c r="U8" s="126">
        <v>0.13432835820895522</v>
      </c>
      <c r="V8" s="126">
        <v>5.4216867469879519E-2</v>
      </c>
      <c r="W8" s="127">
        <v>1218.8333333333001</v>
      </c>
      <c r="X8" s="127">
        <v>18.751282051281539</v>
      </c>
      <c r="Y8" s="127">
        <v>1134.92</v>
      </c>
      <c r="Z8" s="127">
        <v>17.460307692307694</v>
      </c>
      <c r="AA8" s="127">
        <v>1938.06</v>
      </c>
      <c r="AB8" s="127">
        <v>29.816307692307692</v>
      </c>
      <c r="AC8" s="130">
        <v>0.3693222865101628</v>
      </c>
      <c r="AD8" s="129">
        <v>119.23214285714285</v>
      </c>
      <c r="AE8" s="122">
        <v>66</v>
      </c>
      <c r="AF8" s="123">
        <v>53</v>
      </c>
      <c r="AG8" s="123">
        <v>152</v>
      </c>
      <c r="AH8" s="123">
        <v>47</v>
      </c>
      <c r="AI8" s="123">
        <v>27</v>
      </c>
      <c r="AJ8" s="126">
        <v>0.16071428571428573</v>
      </c>
      <c r="AK8" s="126">
        <v>0.2857142857142857</v>
      </c>
      <c r="AL8" s="126">
        <v>0.4464285714285714</v>
      </c>
      <c r="AM8" s="123">
        <v>343</v>
      </c>
      <c r="AN8" s="130">
        <v>0.28230452674897122</v>
      </c>
      <c r="AO8" s="123">
        <v>374</v>
      </c>
      <c r="AP8" s="130">
        <v>0.30781893004115224</v>
      </c>
      <c r="AQ8" s="123">
        <v>498</v>
      </c>
      <c r="AR8" s="130">
        <v>0.40987654320987654</v>
      </c>
      <c r="AS8" s="130">
        <v>0.47838214783821481</v>
      </c>
      <c r="AT8" s="123">
        <v>1</v>
      </c>
      <c r="AU8" s="124">
        <v>-3.63</v>
      </c>
      <c r="AV8" s="135">
        <v>445</v>
      </c>
      <c r="AW8" s="135">
        <v>451</v>
      </c>
      <c r="AX8" s="135">
        <v>432</v>
      </c>
      <c r="AY8" s="130">
        <v>0.4966517857142857</v>
      </c>
      <c r="AZ8" s="131">
        <v>17.559999999999999</v>
      </c>
      <c r="BA8" s="136">
        <v>3</v>
      </c>
      <c r="BB8" s="135">
        <v>0.92700000000000005</v>
      </c>
      <c r="BC8" s="123">
        <v>3</v>
      </c>
      <c r="BD8" s="137">
        <v>8.7000000000000008E-2</v>
      </c>
      <c r="BE8" s="127">
        <v>49.97</v>
      </c>
      <c r="BF8" s="131">
        <v>16.72</v>
      </c>
      <c r="BG8" s="137">
        <v>1.1619999999999999</v>
      </c>
      <c r="BH8" s="137">
        <v>5.6050000000000004</v>
      </c>
      <c r="BI8" s="127">
        <v>51.37</v>
      </c>
      <c r="BJ8" s="130">
        <v>9.2257001647446463E-2</v>
      </c>
      <c r="BK8" s="138">
        <v>0.92119089316987746</v>
      </c>
      <c r="BL8" s="136">
        <v>1013.4478948173239</v>
      </c>
      <c r="BM8" s="130">
        <v>1.3447894817323919E-2</v>
      </c>
      <c r="BN8" s="131">
        <v>2.9605610968173965</v>
      </c>
      <c r="BO8" s="131">
        <v>2.3790223099425507</v>
      </c>
      <c r="BP8" s="127">
        <v>32.090367603002854</v>
      </c>
      <c r="BQ8" s="127">
        <v>30.187149755048814</v>
      </c>
      <c r="BR8" s="127">
        <v>64.973742642653221</v>
      </c>
      <c r="BS8" s="127">
        <v>56.356395164416867</v>
      </c>
      <c r="BT8" s="127">
        <v>8.6173474782363542</v>
      </c>
      <c r="BU8" s="123">
        <v>56</v>
      </c>
      <c r="BV8" s="123">
        <v>45</v>
      </c>
      <c r="BW8" s="136">
        <v>551</v>
      </c>
      <c r="BX8" s="136">
        <v>526</v>
      </c>
      <c r="BY8" s="136">
        <v>278</v>
      </c>
      <c r="BZ8" s="136">
        <v>213</v>
      </c>
      <c r="CA8" s="136">
        <v>282</v>
      </c>
      <c r="CB8" s="136">
        <v>344</v>
      </c>
      <c r="CC8" s="123">
        <v>625</v>
      </c>
      <c r="CD8" s="123">
        <v>513</v>
      </c>
      <c r="CE8" s="130">
        <v>0.54920913884007028</v>
      </c>
      <c r="CF8" s="124">
        <v>1.78</v>
      </c>
      <c r="CG8" s="139">
        <v>3.5281759301191986</v>
      </c>
      <c r="CH8" s="131">
        <v>2.7553326522398689</v>
      </c>
      <c r="CI8" s="131">
        <v>3.033961796848395</v>
      </c>
      <c r="CJ8" s="131">
        <v>30.649205906937869</v>
      </c>
      <c r="CK8" s="131">
        <v>29.906194854648465</v>
      </c>
      <c r="CL8" s="131">
        <v>61.88662889693817</v>
      </c>
      <c r="CM8" s="131">
        <v>58.512120367790473</v>
      </c>
      <c r="CN8" s="127">
        <v>5.2428389490886573</v>
      </c>
      <c r="CO8" s="136">
        <v>89</v>
      </c>
      <c r="CP8" s="136">
        <v>98</v>
      </c>
      <c r="CQ8" s="136">
        <v>901</v>
      </c>
      <c r="CR8" s="136">
        <v>868</v>
      </c>
      <c r="CS8" s="136">
        <v>486</v>
      </c>
      <c r="CT8" s="136">
        <v>408</v>
      </c>
      <c r="CU8" s="136">
        <v>516</v>
      </c>
      <c r="CV8" s="136">
        <v>523</v>
      </c>
      <c r="CW8" s="123">
        <v>13</v>
      </c>
      <c r="CX8" s="123">
        <v>11</v>
      </c>
      <c r="CY8" s="136">
        <v>-2</v>
      </c>
      <c r="CZ8" s="131">
        <v>0.63995624230823567</v>
      </c>
      <c r="DA8" s="131">
        <v>0.54150143579927634</v>
      </c>
      <c r="DB8" s="131">
        <v>-9.8454806508959353E-2</v>
      </c>
      <c r="DC8" s="125">
        <v>48</v>
      </c>
      <c r="DD8" s="125">
        <v>44</v>
      </c>
      <c r="DE8" s="132">
        <v>50.36</v>
      </c>
      <c r="DF8" s="132">
        <v>52.63</v>
      </c>
      <c r="DG8" s="132">
        <v>48.47</v>
      </c>
      <c r="DH8" s="132">
        <v>42.41</v>
      </c>
      <c r="DI8" s="123"/>
      <c r="DJ8" s="123"/>
      <c r="DK8" s="130" t="s">
        <v>161</v>
      </c>
      <c r="DL8" s="136"/>
      <c r="DM8" s="136"/>
      <c r="DN8" s="123"/>
      <c r="DO8" s="123"/>
      <c r="DP8" s="123"/>
      <c r="DQ8" s="123"/>
      <c r="DR8" s="123"/>
      <c r="DS8" s="123"/>
      <c r="DT8" s="123"/>
      <c r="DU8" s="136"/>
      <c r="DV8" s="123"/>
      <c r="DW8" s="123"/>
      <c r="DX8" s="123"/>
      <c r="DY8" s="123"/>
      <c r="DZ8" s="123"/>
      <c r="EA8" s="125"/>
    </row>
    <row r="9" spans="1:131" ht="26.25" x14ac:dyDescent="0.25">
      <c r="A9" s="143" t="s">
        <v>162</v>
      </c>
      <c r="B9" s="143" t="s">
        <v>163</v>
      </c>
      <c r="C9" s="151" t="s">
        <v>164</v>
      </c>
      <c r="D9" s="141" t="s">
        <v>165</v>
      </c>
      <c r="E9" s="143" t="s">
        <v>160</v>
      </c>
      <c r="F9" s="941">
        <f>(39/81)</f>
        <v>0.48148148148148145</v>
      </c>
      <c r="G9" s="941" t="s">
        <v>459</v>
      </c>
      <c r="H9" s="941">
        <f>(53/58)</f>
        <v>0.91379310344827591</v>
      </c>
      <c r="I9" s="143">
        <v>81</v>
      </c>
      <c r="J9" s="143">
        <v>6</v>
      </c>
      <c r="K9" s="143">
        <v>20</v>
      </c>
      <c r="L9" s="152">
        <v>26</v>
      </c>
      <c r="M9" s="146">
        <v>1.0367629955361823</v>
      </c>
      <c r="N9" s="141">
        <v>6</v>
      </c>
      <c r="O9" s="141">
        <v>8</v>
      </c>
      <c r="P9" s="141">
        <v>8</v>
      </c>
      <c r="Q9" s="141">
        <v>115</v>
      </c>
      <c r="R9" s="141">
        <v>38</v>
      </c>
      <c r="S9" s="141">
        <v>77</v>
      </c>
      <c r="T9" s="141">
        <v>57</v>
      </c>
      <c r="U9" s="144">
        <v>5.2173913043478258E-2</v>
      </c>
      <c r="V9" s="144">
        <v>2.6086956521739129E-2</v>
      </c>
      <c r="W9" s="145">
        <v>1504.6833333333</v>
      </c>
      <c r="X9" s="145">
        <v>18.576337448559258</v>
      </c>
      <c r="Y9" s="145">
        <v>1385.9</v>
      </c>
      <c r="Z9" s="145">
        <v>17.109876543209879</v>
      </c>
      <c r="AA9" s="145">
        <v>2522.11</v>
      </c>
      <c r="AB9" s="145">
        <v>31.137160493827164</v>
      </c>
      <c r="AC9" s="148">
        <v>0.35463061762892112</v>
      </c>
      <c r="AD9" s="147">
        <v>103.2</v>
      </c>
      <c r="AE9" s="140">
        <v>67</v>
      </c>
      <c r="AF9" s="141">
        <v>98</v>
      </c>
      <c r="AG9" s="141">
        <v>123</v>
      </c>
      <c r="AH9" s="141">
        <v>36</v>
      </c>
      <c r="AI9" s="141">
        <v>19</v>
      </c>
      <c r="AJ9" s="144">
        <v>0.1</v>
      </c>
      <c r="AK9" s="144">
        <v>0.26666666666666666</v>
      </c>
      <c r="AL9" s="144">
        <v>0.3666666666666667</v>
      </c>
      <c r="AM9" s="141">
        <v>522</v>
      </c>
      <c r="AN9" s="148">
        <v>0.40246723207401697</v>
      </c>
      <c r="AO9" s="141">
        <v>338</v>
      </c>
      <c r="AP9" s="148">
        <v>0.26060138781804165</v>
      </c>
      <c r="AQ9" s="141">
        <v>437</v>
      </c>
      <c r="AR9" s="148">
        <v>0.33693138010794138</v>
      </c>
      <c r="AS9" s="148">
        <v>0.60697674418604652</v>
      </c>
      <c r="AT9" s="141">
        <v>7</v>
      </c>
      <c r="AU9" s="142">
        <v>15.04</v>
      </c>
      <c r="AV9" s="153">
        <v>593</v>
      </c>
      <c r="AW9" s="153">
        <v>517</v>
      </c>
      <c r="AX9" s="153">
        <v>440</v>
      </c>
      <c r="AY9" s="148">
        <v>0.53423423423423422</v>
      </c>
      <c r="AZ9" s="149">
        <v>17.190000000000001</v>
      </c>
      <c r="BA9" s="154">
        <v>5</v>
      </c>
      <c r="BB9" s="153">
        <v>-0.08</v>
      </c>
      <c r="BC9" s="141">
        <v>8</v>
      </c>
      <c r="BD9" s="155">
        <v>-1.2370000000000001</v>
      </c>
      <c r="BE9" s="145">
        <v>49.36</v>
      </c>
      <c r="BF9" s="149">
        <v>16.93</v>
      </c>
      <c r="BG9" s="155">
        <v>2.7690000000000001</v>
      </c>
      <c r="BH9" s="155">
        <v>3.9870000000000001</v>
      </c>
      <c r="BI9" s="145">
        <v>51.81</v>
      </c>
      <c r="BJ9" s="148">
        <v>7.7519379844961239E-2</v>
      </c>
      <c r="BK9" s="156">
        <v>0.93004769475357707</v>
      </c>
      <c r="BL9" s="154">
        <v>1007.5670745985383</v>
      </c>
      <c r="BM9" s="148">
        <v>7.5670745985383092E-3</v>
      </c>
      <c r="BN9" s="149">
        <v>2.5975900137095027</v>
      </c>
      <c r="BO9" s="149">
        <v>1.9048993433869688</v>
      </c>
      <c r="BP9" s="145">
        <v>33.508911176852585</v>
      </c>
      <c r="BQ9" s="145">
        <v>27.23140197705462</v>
      </c>
      <c r="BR9" s="145">
        <v>56.367703297496206</v>
      </c>
      <c r="BS9" s="145">
        <v>48.315174254996748</v>
      </c>
      <c r="BT9" s="145">
        <v>8.052529042499458</v>
      </c>
      <c r="BU9" s="141">
        <v>60</v>
      </c>
      <c r="BV9" s="141">
        <v>44</v>
      </c>
      <c r="BW9" s="154">
        <v>714</v>
      </c>
      <c r="BX9" s="154">
        <v>585</v>
      </c>
      <c r="BY9" s="154">
        <v>225</v>
      </c>
      <c r="BZ9" s="154">
        <v>243</v>
      </c>
      <c r="CA9" s="154">
        <v>244</v>
      </c>
      <c r="CB9" s="154">
        <v>303</v>
      </c>
      <c r="CC9" s="141">
        <v>579</v>
      </c>
      <c r="CD9" s="141">
        <v>468</v>
      </c>
      <c r="CE9" s="148">
        <v>0.55300859598853869</v>
      </c>
      <c r="CF9" s="142">
        <v>5.95</v>
      </c>
      <c r="CG9" s="157">
        <v>0.17108718203434137</v>
      </c>
      <c r="CH9" s="149">
        <v>2.1172748214788411</v>
      </c>
      <c r="CI9" s="149">
        <v>2.3789604735717313</v>
      </c>
      <c r="CJ9" s="149">
        <v>28.928159358632254</v>
      </c>
      <c r="CK9" s="149">
        <v>29.594268291232339</v>
      </c>
      <c r="CL9" s="149">
        <v>53.217345793799637</v>
      </c>
      <c r="CM9" s="149">
        <v>53.883454726399712</v>
      </c>
      <c r="CN9" s="145">
        <v>8.7186379750995329</v>
      </c>
      <c r="CO9" s="154">
        <v>89</v>
      </c>
      <c r="CP9" s="154">
        <v>100</v>
      </c>
      <c r="CQ9" s="154">
        <v>1127</v>
      </c>
      <c r="CR9" s="154">
        <v>1144</v>
      </c>
      <c r="CS9" s="154">
        <v>477</v>
      </c>
      <c r="CT9" s="154">
        <v>481</v>
      </c>
      <c r="CU9" s="154">
        <v>540</v>
      </c>
      <c r="CV9" s="154">
        <v>544</v>
      </c>
      <c r="CW9" s="141">
        <v>10</v>
      </c>
      <c r="CX9" s="141">
        <v>9</v>
      </c>
      <c r="CY9" s="154">
        <v>-1</v>
      </c>
      <c r="CZ9" s="149">
        <v>0.39875499828314709</v>
      </c>
      <c r="DA9" s="149">
        <v>0.35887949845483236</v>
      </c>
      <c r="DB9" s="149">
        <v>-3.9875499828314703E-2</v>
      </c>
      <c r="DC9" s="143">
        <v>54</v>
      </c>
      <c r="DD9" s="143">
        <v>45</v>
      </c>
      <c r="DE9" s="150">
        <v>43.88</v>
      </c>
      <c r="DF9" s="150">
        <v>57.42</v>
      </c>
      <c r="DG9" s="150">
        <v>45.98</v>
      </c>
      <c r="DH9" s="150">
        <v>51.59</v>
      </c>
      <c r="DI9" s="141"/>
      <c r="DJ9" s="141"/>
      <c r="DK9" s="148" t="s">
        <v>161</v>
      </c>
      <c r="DL9" s="154"/>
      <c r="DM9" s="154"/>
      <c r="DN9" s="141"/>
      <c r="DO9" s="141"/>
      <c r="DP9" s="141"/>
      <c r="DQ9" s="141"/>
      <c r="DR9" s="141"/>
      <c r="DS9" s="141"/>
      <c r="DT9" s="159"/>
      <c r="DU9" s="158"/>
      <c r="DV9" s="143"/>
      <c r="DW9" s="143"/>
      <c r="DX9" s="143"/>
      <c r="DY9" s="143"/>
      <c r="DZ9" s="143"/>
      <c r="EA9" s="141"/>
    </row>
    <row r="10" spans="1:131" ht="39" x14ac:dyDescent="0.25">
      <c r="A10" s="163" t="s">
        <v>166</v>
      </c>
      <c r="B10" s="163" t="s">
        <v>167</v>
      </c>
      <c r="C10" s="171" t="s">
        <v>168</v>
      </c>
      <c r="D10" s="161" t="s">
        <v>169</v>
      </c>
      <c r="E10" s="163" t="s">
        <v>155</v>
      </c>
      <c r="F10" s="941">
        <f>(37/80)</f>
        <v>0.46250000000000002</v>
      </c>
      <c r="G10" s="941" t="s">
        <v>460</v>
      </c>
      <c r="H10" s="941">
        <f>(21/31)</f>
        <v>0.67741935483870963</v>
      </c>
      <c r="I10" s="163">
        <v>80</v>
      </c>
      <c r="J10" s="163">
        <v>7</v>
      </c>
      <c r="K10" s="163">
        <v>17</v>
      </c>
      <c r="L10" s="172">
        <v>24</v>
      </c>
      <c r="M10" s="166">
        <v>1.5083272232114799</v>
      </c>
      <c r="N10" s="161">
        <v>4</v>
      </c>
      <c r="O10" s="161">
        <v>11</v>
      </c>
      <c r="P10" s="161">
        <v>5</v>
      </c>
      <c r="Q10" s="161">
        <v>92</v>
      </c>
      <c r="R10" s="161">
        <v>43</v>
      </c>
      <c r="S10" s="161">
        <v>38</v>
      </c>
      <c r="T10" s="161">
        <v>92</v>
      </c>
      <c r="U10" s="164">
        <v>7.6086956521739135E-2</v>
      </c>
      <c r="V10" s="164">
        <v>4.046242774566474E-2</v>
      </c>
      <c r="W10" s="165">
        <v>954.7</v>
      </c>
      <c r="X10" s="165">
        <v>11.93375</v>
      </c>
      <c r="Y10" s="165">
        <v>887.99</v>
      </c>
      <c r="Z10" s="165">
        <v>11.099875000000001</v>
      </c>
      <c r="AA10" s="165">
        <v>2927.67</v>
      </c>
      <c r="AB10" s="165">
        <v>36.595874999999999</v>
      </c>
      <c r="AC10" s="168">
        <v>0.23272251720541137</v>
      </c>
      <c r="AD10" s="167">
        <v>123.82857142857142</v>
      </c>
      <c r="AE10" s="160">
        <v>15</v>
      </c>
      <c r="AF10" s="161">
        <v>42</v>
      </c>
      <c r="AG10" s="161">
        <v>49</v>
      </c>
      <c r="AH10" s="161">
        <v>20</v>
      </c>
      <c r="AI10" s="161">
        <v>29</v>
      </c>
      <c r="AJ10" s="164">
        <v>0.2</v>
      </c>
      <c r="AK10" s="164">
        <v>0.45714285714285713</v>
      </c>
      <c r="AL10" s="164">
        <v>0.65714285714285714</v>
      </c>
      <c r="AM10" s="161">
        <v>269</v>
      </c>
      <c r="AN10" s="168">
        <v>0.36253369272237196</v>
      </c>
      <c r="AO10" s="161">
        <v>215</v>
      </c>
      <c r="AP10" s="168">
        <v>0.28975741239892183</v>
      </c>
      <c r="AQ10" s="161">
        <v>258</v>
      </c>
      <c r="AR10" s="168">
        <v>0.34770889487870621</v>
      </c>
      <c r="AS10" s="168">
        <v>0.55578512396694213</v>
      </c>
      <c r="AT10" s="161">
        <v>9</v>
      </c>
      <c r="AU10" s="162">
        <v>3.04</v>
      </c>
      <c r="AV10" s="173">
        <v>372</v>
      </c>
      <c r="AW10" s="173">
        <v>293</v>
      </c>
      <c r="AX10" s="173">
        <v>264</v>
      </c>
      <c r="AY10" s="168">
        <v>0.55939849624060145</v>
      </c>
      <c r="AZ10" s="169">
        <v>17.010000000000002</v>
      </c>
      <c r="BA10" s="174">
        <v>12</v>
      </c>
      <c r="BB10" s="173">
        <v>-0.109</v>
      </c>
      <c r="BC10" s="161">
        <v>10</v>
      </c>
      <c r="BD10" s="175">
        <v>-0.23600000000000002</v>
      </c>
      <c r="BE10" s="165">
        <v>49.9</v>
      </c>
      <c r="BF10" s="169">
        <v>17.27</v>
      </c>
      <c r="BG10" s="175">
        <v>-0.115</v>
      </c>
      <c r="BH10" s="175">
        <v>2.286</v>
      </c>
      <c r="BI10" s="165">
        <v>49.71</v>
      </c>
      <c r="BJ10" s="168">
        <v>8.8832487309644673E-2</v>
      </c>
      <c r="BK10" s="176">
        <v>0.94050343249427915</v>
      </c>
      <c r="BL10" s="174">
        <v>1029.3359198039238</v>
      </c>
      <c r="BM10" s="168">
        <v>2.9335919803923818E-2</v>
      </c>
      <c r="BN10" s="169">
        <v>2.3648914965258618</v>
      </c>
      <c r="BO10" s="169">
        <v>1.7567765402763544</v>
      </c>
      <c r="BP10" s="165">
        <v>26.621921418033988</v>
      </c>
      <c r="BQ10" s="165">
        <v>29.527359542337187</v>
      </c>
      <c r="BR10" s="165">
        <v>52.162749580513299</v>
      </c>
      <c r="BS10" s="165">
        <v>53.851957792317485</v>
      </c>
      <c r="BT10" s="165">
        <v>-1.6892082118041856</v>
      </c>
      <c r="BU10" s="161">
        <v>35</v>
      </c>
      <c r="BV10" s="161">
        <v>26</v>
      </c>
      <c r="BW10" s="174">
        <v>359</v>
      </c>
      <c r="BX10" s="174">
        <v>411</v>
      </c>
      <c r="BY10" s="174">
        <v>159</v>
      </c>
      <c r="BZ10" s="174">
        <v>153</v>
      </c>
      <c r="CA10" s="174">
        <v>207</v>
      </c>
      <c r="CB10" s="174">
        <v>219</v>
      </c>
      <c r="CC10" s="161">
        <v>389</v>
      </c>
      <c r="CD10" s="161">
        <v>382</v>
      </c>
      <c r="CE10" s="168">
        <v>0.50453955901426717</v>
      </c>
      <c r="CF10" s="162">
        <v>-2.23</v>
      </c>
      <c r="CG10" s="177">
        <v>-5.6400511870107959</v>
      </c>
      <c r="CH10" s="169">
        <v>2.4387994548565923</v>
      </c>
      <c r="CI10" s="169">
        <v>2.2953406633944398</v>
      </c>
      <c r="CJ10" s="169">
        <v>29.14262877988298</v>
      </c>
      <c r="CK10" s="169">
        <v>27.072723360214777</v>
      </c>
      <c r="CL10" s="169">
        <v>58.592669255756284</v>
      </c>
      <c r="CM10" s="169">
        <v>54.288905511891706</v>
      </c>
      <c r="CN10" s="165">
        <v>-5.9929719556687644</v>
      </c>
      <c r="CO10" s="174">
        <v>119</v>
      </c>
      <c r="CP10" s="174">
        <v>112</v>
      </c>
      <c r="CQ10" s="174">
        <v>1303</v>
      </c>
      <c r="CR10" s="174">
        <v>1209</v>
      </c>
      <c r="CS10" s="174">
        <v>654</v>
      </c>
      <c r="CT10" s="174">
        <v>560</v>
      </c>
      <c r="CU10" s="174">
        <v>768</v>
      </c>
      <c r="CV10" s="174">
        <v>783</v>
      </c>
      <c r="CW10" s="161">
        <v>7</v>
      </c>
      <c r="CX10" s="161">
        <v>8</v>
      </c>
      <c r="CY10" s="174">
        <v>1</v>
      </c>
      <c r="CZ10" s="169">
        <v>0.43992877343668169</v>
      </c>
      <c r="DA10" s="169">
        <v>0.50277574107049339</v>
      </c>
      <c r="DB10" s="169">
        <v>6.2846967633811673E-2</v>
      </c>
      <c r="DC10" s="163">
        <v>32</v>
      </c>
      <c r="DD10" s="163">
        <v>32</v>
      </c>
      <c r="DE10" s="170">
        <v>38.130000000000003</v>
      </c>
      <c r="DF10" s="170">
        <v>31.8</v>
      </c>
      <c r="DG10" s="170">
        <v>32.700000000000003</v>
      </c>
      <c r="DH10" s="170">
        <v>31.2</v>
      </c>
      <c r="DI10" s="163">
        <v>272</v>
      </c>
      <c r="DJ10" s="163">
        <v>345</v>
      </c>
      <c r="DK10" s="168">
        <v>0.44084278768233387</v>
      </c>
      <c r="DL10" s="174">
        <v>229</v>
      </c>
      <c r="DM10" s="174">
        <v>85</v>
      </c>
      <c r="DN10" s="163">
        <v>25</v>
      </c>
      <c r="DO10" s="163">
        <v>1</v>
      </c>
      <c r="DP10" s="163">
        <v>0.105</v>
      </c>
      <c r="DQ10" s="163">
        <v>0</v>
      </c>
      <c r="DR10" s="163">
        <v>0</v>
      </c>
      <c r="DS10" s="163">
        <v>0</v>
      </c>
      <c r="DT10" s="163">
        <v>136</v>
      </c>
      <c r="DU10" s="178">
        <v>68</v>
      </c>
      <c r="DV10" s="163">
        <v>4</v>
      </c>
      <c r="DW10" s="163">
        <v>27</v>
      </c>
      <c r="DX10" s="163">
        <v>-0.16900000000000001</v>
      </c>
      <c r="DY10" s="163">
        <v>0</v>
      </c>
      <c r="DZ10" s="163">
        <v>2</v>
      </c>
      <c r="EA10" s="163">
        <v>-1.4999999999999999E-2</v>
      </c>
    </row>
    <row r="11" spans="1:131" ht="26.25" x14ac:dyDescent="0.25">
      <c r="A11" s="182" t="s">
        <v>170</v>
      </c>
      <c r="B11" s="182" t="s">
        <v>171</v>
      </c>
      <c r="C11" s="190" t="s">
        <v>172</v>
      </c>
      <c r="D11" s="180" t="s">
        <v>173</v>
      </c>
      <c r="E11" s="182" t="s">
        <v>155</v>
      </c>
      <c r="F11" s="941">
        <f>(33/80)</f>
        <v>0.41249999999999998</v>
      </c>
      <c r="G11" s="941" t="s">
        <v>456</v>
      </c>
      <c r="H11" s="941">
        <f>(39/76)</f>
        <v>0.51315789473684215</v>
      </c>
      <c r="I11" s="182">
        <v>80</v>
      </c>
      <c r="J11" s="182">
        <v>9</v>
      </c>
      <c r="K11" s="182">
        <v>13</v>
      </c>
      <c r="L11" s="191">
        <v>22</v>
      </c>
      <c r="M11" s="185">
        <v>1.2316305108467458</v>
      </c>
      <c r="N11" s="180">
        <v>9</v>
      </c>
      <c r="O11" s="180">
        <v>6</v>
      </c>
      <c r="P11" s="180">
        <v>6</v>
      </c>
      <c r="Q11" s="180">
        <v>127</v>
      </c>
      <c r="R11" s="180">
        <v>40</v>
      </c>
      <c r="S11" s="180">
        <v>42</v>
      </c>
      <c r="T11" s="180">
        <v>114</v>
      </c>
      <c r="U11" s="183">
        <v>7.0866141732283464E-2</v>
      </c>
      <c r="V11" s="183">
        <v>4.3062200956937802E-2</v>
      </c>
      <c r="W11" s="184">
        <v>1071.75</v>
      </c>
      <c r="X11" s="184">
        <v>13.396875</v>
      </c>
      <c r="Y11" s="184">
        <v>980.55</v>
      </c>
      <c r="Z11" s="184">
        <v>12.256874999999999</v>
      </c>
      <c r="AA11" s="184">
        <v>2960.21</v>
      </c>
      <c r="AB11" s="184">
        <v>37.002625000000002</v>
      </c>
      <c r="AC11" s="187">
        <v>0.24882256214537293</v>
      </c>
      <c r="AD11" s="186">
        <v>100.54545454545455</v>
      </c>
      <c r="AE11" s="179">
        <v>25</v>
      </c>
      <c r="AF11" s="180">
        <v>35</v>
      </c>
      <c r="AG11" s="180">
        <v>112</v>
      </c>
      <c r="AH11" s="180">
        <v>21</v>
      </c>
      <c r="AI11" s="180">
        <v>36</v>
      </c>
      <c r="AJ11" s="183">
        <v>0.27272727272727271</v>
      </c>
      <c r="AK11" s="183">
        <v>0.36363636363636365</v>
      </c>
      <c r="AL11" s="183">
        <v>0.63636363636363635</v>
      </c>
      <c r="AM11" s="180">
        <v>328</v>
      </c>
      <c r="AN11" s="187">
        <v>0.354978354978355</v>
      </c>
      <c r="AO11" s="180">
        <v>258</v>
      </c>
      <c r="AP11" s="187">
        <v>0.2792207792207792</v>
      </c>
      <c r="AQ11" s="180">
        <v>338</v>
      </c>
      <c r="AR11" s="187">
        <v>0.36580086580086579</v>
      </c>
      <c r="AS11" s="187">
        <v>0.55972696245733788</v>
      </c>
      <c r="AT11" s="180">
        <v>10</v>
      </c>
      <c r="AU11" s="181">
        <v>4.32</v>
      </c>
      <c r="AV11" s="192">
        <v>370</v>
      </c>
      <c r="AW11" s="192">
        <v>331</v>
      </c>
      <c r="AX11" s="192">
        <v>306</v>
      </c>
      <c r="AY11" s="187">
        <v>0.52781740370898711</v>
      </c>
      <c r="AZ11" s="188">
        <v>17.37</v>
      </c>
      <c r="BA11" s="193">
        <v>6</v>
      </c>
      <c r="BB11" s="192">
        <v>0.49299999999999999</v>
      </c>
      <c r="BC11" s="180">
        <v>4</v>
      </c>
      <c r="BD11" s="194">
        <v>-0.188</v>
      </c>
      <c r="BE11" s="184">
        <v>49.75</v>
      </c>
      <c r="BF11" s="188">
        <v>17.670000000000002</v>
      </c>
      <c r="BG11" s="194">
        <v>1.5590000000000002</v>
      </c>
      <c r="BH11" s="194">
        <v>6.6920000000000002</v>
      </c>
      <c r="BI11" s="184">
        <v>51.1</v>
      </c>
      <c r="BJ11" s="187">
        <v>5.9674502712477394E-2</v>
      </c>
      <c r="BK11" s="195">
        <v>0.91091314031180404</v>
      </c>
      <c r="BL11" s="193">
        <v>970.58764302428142</v>
      </c>
      <c r="BM11" s="187">
        <v>-2.9412356975718569E-2</v>
      </c>
      <c r="BN11" s="188">
        <v>2.0192748967416243</v>
      </c>
      <c r="BO11" s="188">
        <v>2.4476059354443933</v>
      </c>
      <c r="BP11" s="184">
        <v>33.838152057518741</v>
      </c>
      <c r="BQ11" s="184">
        <v>27.47437662536332</v>
      </c>
      <c r="BR11" s="184">
        <v>62.046810463515378</v>
      </c>
      <c r="BS11" s="184">
        <v>53.174238947529446</v>
      </c>
      <c r="BT11" s="184">
        <v>8.872571515985932</v>
      </c>
      <c r="BU11" s="180">
        <v>33</v>
      </c>
      <c r="BV11" s="180">
        <v>40</v>
      </c>
      <c r="BW11" s="193">
        <v>520</v>
      </c>
      <c r="BX11" s="193">
        <v>409</v>
      </c>
      <c r="BY11" s="193">
        <v>210</v>
      </c>
      <c r="BZ11" s="193">
        <v>206</v>
      </c>
      <c r="CA11" s="193">
        <v>214</v>
      </c>
      <c r="CB11" s="193">
        <v>251</v>
      </c>
      <c r="CC11" s="180">
        <v>457</v>
      </c>
      <c r="CD11" s="180">
        <v>445</v>
      </c>
      <c r="CE11" s="187">
        <v>0.50665188470066513</v>
      </c>
      <c r="CF11" s="181">
        <v>-0.86</v>
      </c>
      <c r="CG11" s="196">
        <v>0.46912441700982299</v>
      </c>
      <c r="CH11" s="188">
        <v>1.8647325696487749</v>
      </c>
      <c r="CI11" s="188">
        <v>2.5944105316852517</v>
      </c>
      <c r="CJ11" s="188">
        <v>29.065505487786339</v>
      </c>
      <c r="CK11" s="188">
        <v>27.058891092186027</v>
      </c>
      <c r="CL11" s="188">
        <v>56.874343374287633</v>
      </c>
      <c r="CM11" s="188">
        <v>52.4354691052324</v>
      </c>
      <c r="CN11" s="184">
        <v>4.4336972469306986</v>
      </c>
      <c r="CO11" s="193">
        <v>92</v>
      </c>
      <c r="CP11" s="193">
        <v>128</v>
      </c>
      <c r="CQ11" s="193">
        <v>1342</v>
      </c>
      <c r="CR11" s="193">
        <v>1207</v>
      </c>
      <c r="CS11" s="193">
        <v>604</v>
      </c>
      <c r="CT11" s="193">
        <v>574</v>
      </c>
      <c r="CU11" s="193">
        <v>678</v>
      </c>
      <c r="CV11" s="193">
        <v>768</v>
      </c>
      <c r="CW11" s="180">
        <v>5</v>
      </c>
      <c r="CX11" s="180">
        <v>10</v>
      </c>
      <c r="CY11" s="193">
        <v>5</v>
      </c>
      <c r="CZ11" s="188">
        <v>0.27991602519244224</v>
      </c>
      <c r="DA11" s="188">
        <v>0.55983205038488448</v>
      </c>
      <c r="DB11" s="188">
        <v>0.27991602519244224</v>
      </c>
      <c r="DC11" s="182">
        <v>38</v>
      </c>
      <c r="DD11" s="182">
        <v>36</v>
      </c>
      <c r="DE11" s="189">
        <v>29.74</v>
      </c>
      <c r="DF11" s="189">
        <v>40.19</v>
      </c>
      <c r="DG11" s="189">
        <v>37.909999999999997</v>
      </c>
      <c r="DH11" s="189">
        <v>36.11</v>
      </c>
      <c r="DI11" s="182">
        <v>451</v>
      </c>
      <c r="DJ11" s="182">
        <v>424</v>
      </c>
      <c r="DK11" s="187">
        <v>0.51542857142857146</v>
      </c>
      <c r="DL11" s="193">
        <v>310</v>
      </c>
      <c r="DM11" s="193">
        <v>147</v>
      </c>
      <c r="DN11" s="182">
        <v>49</v>
      </c>
      <c r="DO11" s="182">
        <v>5</v>
      </c>
      <c r="DP11" s="182">
        <v>0.14200000000000002</v>
      </c>
      <c r="DQ11" s="182">
        <v>2</v>
      </c>
      <c r="DR11" s="182">
        <v>1</v>
      </c>
      <c r="DS11" s="182">
        <v>3.0000000000000001E-3</v>
      </c>
      <c r="DT11" s="182">
        <v>232</v>
      </c>
      <c r="DU11" s="197">
        <v>124</v>
      </c>
      <c r="DV11" s="182">
        <v>2</v>
      </c>
      <c r="DW11" s="182">
        <v>42</v>
      </c>
      <c r="DX11" s="182">
        <v>-0.17200000000000001</v>
      </c>
      <c r="DY11" s="182">
        <v>1</v>
      </c>
      <c r="DZ11" s="182">
        <v>1</v>
      </c>
      <c r="EA11" s="182">
        <v>0</v>
      </c>
    </row>
    <row r="12" spans="1:131" ht="39" x14ac:dyDescent="0.25">
      <c r="A12" s="201" t="s">
        <v>174</v>
      </c>
      <c r="B12" s="201" t="s">
        <v>175</v>
      </c>
      <c r="C12" s="209" t="s">
        <v>176</v>
      </c>
      <c r="D12" s="199" t="s">
        <v>177</v>
      </c>
      <c r="E12" s="201" t="s">
        <v>137</v>
      </c>
      <c r="F12" s="941">
        <f>(32/70)</f>
        <v>0.45714285714285713</v>
      </c>
      <c r="G12" s="941" t="s">
        <v>461</v>
      </c>
      <c r="H12" s="941">
        <f>(108/46)</f>
        <v>2.347826086956522</v>
      </c>
      <c r="I12" s="201">
        <v>70</v>
      </c>
      <c r="J12" s="201">
        <v>1</v>
      </c>
      <c r="K12" s="201">
        <v>25</v>
      </c>
      <c r="L12" s="210">
        <v>26</v>
      </c>
      <c r="M12" s="204">
        <v>1.9782728156570157</v>
      </c>
      <c r="N12" s="199">
        <v>1</v>
      </c>
      <c r="O12" s="199">
        <v>15</v>
      </c>
      <c r="P12" s="199">
        <v>9</v>
      </c>
      <c r="Q12" s="199">
        <v>63</v>
      </c>
      <c r="R12" s="199">
        <v>30</v>
      </c>
      <c r="S12" s="199">
        <v>42</v>
      </c>
      <c r="T12" s="199">
        <v>69</v>
      </c>
      <c r="U12" s="202">
        <v>1.5873015873015872E-2</v>
      </c>
      <c r="V12" s="202">
        <v>7.4074074074074077E-3</v>
      </c>
      <c r="W12" s="203">
        <v>788.56666666670003</v>
      </c>
      <c r="X12" s="203">
        <v>11.265238095238573</v>
      </c>
      <c r="Y12" s="203">
        <v>758.12</v>
      </c>
      <c r="Z12" s="203">
        <v>10.830285714285715</v>
      </c>
      <c r="AA12" s="203">
        <v>2550.85</v>
      </c>
      <c r="AB12" s="203">
        <v>36.440714285714286</v>
      </c>
      <c r="AC12" s="206">
        <v>0.22911056914991676</v>
      </c>
      <c r="AD12" s="205">
        <v>193.59375</v>
      </c>
      <c r="AE12" s="198">
        <v>16</v>
      </c>
      <c r="AF12" s="199">
        <v>53</v>
      </c>
      <c r="AG12" s="199">
        <v>47</v>
      </c>
      <c r="AH12" s="199">
        <v>17</v>
      </c>
      <c r="AI12" s="199">
        <v>33</v>
      </c>
      <c r="AJ12" s="202">
        <v>3.125E-2</v>
      </c>
      <c r="AK12" s="202">
        <v>0.75</v>
      </c>
      <c r="AL12" s="202">
        <v>0.78125</v>
      </c>
      <c r="AM12" s="199">
        <v>224</v>
      </c>
      <c r="AN12" s="206">
        <v>0.36541598694942906</v>
      </c>
      <c r="AO12" s="199">
        <v>159</v>
      </c>
      <c r="AP12" s="206">
        <v>0.25938009787928223</v>
      </c>
      <c r="AQ12" s="199">
        <v>230</v>
      </c>
      <c r="AR12" s="206">
        <v>0.37520391517128876</v>
      </c>
      <c r="AS12" s="206">
        <v>0.58485639686684077</v>
      </c>
      <c r="AT12" s="199">
        <v>9</v>
      </c>
      <c r="AU12" s="200">
        <v>5.4</v>
      </c>
      <c r="AV12" s="211">
        <v>274</v>
      </c>
      <c r="AW12" s="211">
        <v>230</v>
      </c>
      <c r="AX12" s="211">
        <v>230</v>
      </c>
      <c r="AY12" s="206">
        <v>0.54365079365079361</v>
      </c>
      <c r="AZ12" s="207">
        <v>17.059999999999999</v>
      </c>
      <c r="BA12" s="212">
        <v>9</v>
      </c>
      <c r="BB12" s="211">
        <v>-0.115</v>
      </c>
      <c r="BC12" s="199">
        <v>11</v>
      </c>
      <c r="BD12" s="213">
        <v>-1.417</v>
      </c>
      <c r="BE12" s="203">
        <v>49.2</v>
      </c>
      <c r="BF12" s="207">
        <v>17.37</v>
      </c>
      <c r="BG12" s="213">
        <v>-1.2469999999999999</v>
      </c>
      <c r="BH12" s="213">
        <v>4.7510000000000003</v>
      </c>
      <c r="BI12" s="203">
        <v>52.64</v>
      </c>
      <c r="BJ12" s="206">
        <v>7.7481840193704604E-2</v>
      </c>
      <c r="BK12" s="214">
        <v>0.92024539877300615</v>
      </c>
      <c r="BL12" s="212">
        <v>997.72723896671073</v>
      </c>
      <c r="BM12" s="206">
        <v>-2.2727610332892445E-3</v>
      </c>
      <c r="BN12" s="207">
        <v>2.5325805941011978</v>
      </c>
      <c r="BO12" s="207">
        <v>2.0577217327072228</v>
      </c>
      <c r="BP12" s="203">
        <v>32.686118292618588</v>
      </c>
      <c r="BQ12" s="203">
        <v>25.800664802405951</v>
      </c>
      <c r="BR12" s="203">
        <v>57.299635941539599</v>
      </c>
      <c r="BS12" s="203">
        <v>49.781037302801664</v>
      </c>
      <c r="BT12" s="203">
        <v>7.5185986387379344</v>
      </c>
      <c r="BU12" s="199">
        <v>32</v>
      </c>
      <c r="BV12" s="199">
        <v>26</v>
      </c>
      <c r="BW12" s="212">
        <v>381</v>
      </c>
      <c r="BX12" s="212">
        <v>300</v>
      </c>
      <c r="BY12" s="212">
        <v>139</v>
      </c>
      <c r="BZ12" s="212">
        <v>142</v>
      </c>
      <c r="CA12" s="212">
        <v>161</v>
      </c>
      <c r="CB12" s="212">
        <v>172</v>
      </c>
      <c r="CC12" s="199">
        <v>367</v>
      </c>
      <c r="CD12" s="199">
        <v>328</v>
      </c>
      <c r="CE12" s="206">
        <v>0.52805755395683451</v>
      </c>
      <c r="CF12" s="200">
        <v>-1.04</v>
      </c>
      <c r="CG12" s="215">
        <v>-0.77595488606624485</v>
      </c>
      <c r="CH12" s="207">
        <v>3.1283689750475334</v>
      </c>
      <c r="CI12" s="207">
        <v>2.3992002665778074</v>
      </c>
      <c r="CJ12" s="207">
        <v>30.507477899523693</v>
      </c>
      <c r="CK12" s="207">
        <v>27.637846208126703</v>
      </c>
      <c r="CL12" s="207">
        <v>57.15741811553012</v>
      </c>
      <c r="CM12" s="207">
        <v>52.170845012446833</v>
      </c>
      <c r="CN12" s="203">
        <v>2.5320255356546468</v>
      </c>
      <c r="CO12" s="212">
        <v>133</v>
      </c>
      <c r="CP12" s="212">
        <v>102</v>
      </c>
      <c r="CQ12" s="212">
        <v>1164</v>
      </c>
      <c r="CR12" s="212">
        <v>1073</v>
      </c>
      <c r="CS12" s="212">
        <v>480</v>
      </c>
      <c r="CT12" s="212">
        <v>463</v>
      </c>
      <c r="CU12" s="212">
        <v>580</v>
      </c>
      <c r="CV12" s="212">
        <v>653</v>
      </c>
      <c r="CW12" s="199">
        <v>6</v>
      </c>
      <c r="CX12" s="199">
        <v>9</v>
      </c>
      <c r="CY12" s="212">
        <v>3</v>
      </c>
      <c r="CZ12" s="207">
        <v>0.45652449592084976</v>
      </c>
      <c r="DA12" s="207">
        <v>0.6847867438812747</v>
      </c>
      <c r="DB12" s="207">
        <v>0.22826224796042488</v>
      </c>
      <c r="DC12" s="201">
        <v>34</v>
      </c>
      <c r="DD12" s="201">
        <v>26</v>
      </c>
      <c r="DE12" s="208">
        <v>33.14</v>
      </c>
      <c r="DF12" s="208">
        <v>28.65</v>
      </c>
      <c r="DG12" s="208">
        <v>30.7</v>
      </c>
      <c r="DH12" s="208">
        <v>26.59</v>
      </c>
      <c r="DI12" s="201">
        <v>9</v>
      </c>
      <c r="DJ12" s="201">
        <v>9</v>
      </c>
      <c r="DK12" s="206">
        <v>0.5</v>
      </c>
      <c r="DL12" s="212">
        <v>13</v>
      </c>
      <c r="DM12" s="212">
        <v>5</v>
      </c>
      <c r="DN12" s="201">
        <v>1</v>
      </c>
      <c r="DO12" s="201">
        <v>0</v>
      </c>
      <c r="DP12" s="201">
        <v>7.6999999999999999E-2</v>
      </c>
      <c r="DQ12" s="201">
        <v>0</v>
      </c>
      <c r="DR12" s="201">
        <v>0</v>
      </c>
      <c r="DS12" s="201">
        <v>0</v>
      </c>
      <c r="DT12" s="201">
        <v>3</v>
      </c>
      <c r="DU12" s="216">
        <v>3</v>
      </c>
      <c r="DV12" s="201">
        <v>0</v>
      </c>
      <c r="DW12" s="201">
        <v>0</v>
      </c>
      <c r="DX12" s="201">
        <v>0</v>
      </c>
      <c r="DY12" s="201">
        <v>0</v>
      </c>
      <c r="DZ12" s="201">
        <v>0</v>
      </c>
      <c r="EA12" s="201">
        <v>0</v>
      </c>
    </row>
    <row r="13" spans="1:131" ht="26.25" x14ac:dyDescent="0.25">
      <c r="A13" s="220" t="s">
        <v>178</v>
      </c>
      <c r="B13" s="220" t="s">
        <v>179</v>
      </c>
      <c r="C13" s="228" t="s">
        <v>180</v>
      </c>
      <c r="D13" s="218" t="s">
        <v>181</v>
      </c>
      <c r="E13" s="220" t="s">
        <v>142</v>
      </c>
      <c r="F13" s="941">
        <f>(31/71)</f>
        <v>0.43661971830985913</v>
      </c>
      <c r="G13" s="941" t="s">
        <v>456</v>
      </c>
      <c r="H13" s="941">
        <f>(37/46)</f>
        <v>0.80434782608695654</v>
      </c>
      <c r="I13" s="220">
        <v>71</v>
      </c>
      <c r="J13" s="220">
        <v>7</v>
      </c>
      <c r="K13" s="220">
        <v>15</v>
      </c>
      <c r="L13" s="229">
        <v>22</v>
      </c>
      <c r="M13" s="223">
        <v>1.6505157861831823</v>
      </c>
      <c r="N13" s="218">
        <v>7</v>
      </c>
      <c r="O13" s="218">
        <v>7</v>
      </c>
      <c r="P13" s="218">
        <v>8</v>
      </c>
      <c r="Q13" s="218">
        <v>91</v>
      </c>
      <c r="R13" s="218">
        <v>40</v>
      </c>
      <c r="S13" s="218">
        <v>32</v>
      </c>
      <c r="T13" s="218">
        <v>83</v>
      </c>
      <c r="U13" s="221">
        <v>7.6923076923076927E-2</v>
      </c>
      <c r="V13" s="221">
        <v>4.2944785276073622E-2</v>
      </c>
      <c r="W13" s="222">
        <v>799.75</v>
      </c>
      <c r="X13" s="222">
        <v>11.264084507042254</v>
      </c>
      <c r="Y13" s="222">
        <v>784.63</v>
      </c>
      <c r="Z13" s="222">
        <v>11.051126760563379</v>
      </c>
      <c r="AA13" s="222">
        <v>2673.08</v>
      </c>
      <c r="AB13" s="222">
        <v>37.649014084507044</v>
      </c>
      <c r="AC13" s="225">
        <v>0.2269218644709938</v>
      </c>
      <c r="AD13" s="224">
        <v>91.65625</v>
      </c>
      <c r="AE13" s="217">
        <v>22</v>
      </c>
      <c r="AF13" s="218">
        <v>73</v>
      </c>
      <c r="AG13" s="218">
        <v>95</v>
      </c>
      <c r="AH13" s="218">
        <v>28</v>
      </c>
      <c r="AI13" s="218">
        <v>18</v>
      </c>
      <c r="AJ13" s="221">
        <v>0.21875</v>
      </c>
      <c r="AK13" s="221">
        <v>0.46875</v>
      </c>
      <c r="AL13" s="221">
        <v>0.6875</v>
      </c>
      <c r="AM13" s="218">
        <v>220</v>
      </c>
      <c r="AN13" s="225">
        <v>0.3125</v>
      </c>
      <c r="AO13" s="218">
        <v>215</v>
      </c>
      <c r="AP13" s="225">
        <v>0.30539772727272729</v>
      </c>
      <c r="AQ13" s="218">
        <v>269</v>
      </c>
      <c r="AR13" s="225">
        <v>0.38210227272727271</v>
      </c>
      <c r="AS13" s="225">
        <v>0.50574712643678166</v>
      </c>
      <c r="AT13" s="218">
        <v>9</v>
      </c>
      <c r="AU13" s="219">
        <v>0.38</v>
      </c>
      <c r="AV13" s="230">
        <v>295</v>
      </c>
      <c r="AW13" s="230">
        <v>321</v>
      </c>
      <c r="AX13" s="230">
        <v>225</v>
      </c>
      <c r="AY13" s="225">
        <v>0.47889610389610388</v>
      </c>
      <c r="AZ13" s="226">
        <v>16.88</v>
      </c>
      <c r="BA13" s="231">
        <v>12</v>
      </c>
      <c r="BB13" s="230">
        <v>-0.318</v>
      </c>
      <c r="BC13" s="218">
        <v>13</v>
      </c>
      <c r="BD13" s="232">
        <v>-0.20800000000000002</v>
      </c>
      <c r="BE13" s="222">
        <v>49.92</v>
      </c>
      <c r="BF13" s="226">
        <v>17.48</v>
      </c>
      <c r="BG13" s="232">
        <v>-0.159</v>
      </c>
      <c r="BH13" s="232">
        <v>1.897</v>
      </c>
      <c r="BI13" s="222">
        <v>50.29</v>
      </c>
      <c r="BJ13" s="225">
        <v>7.6372315035799526E-2</v>
      </c>
      <c r="BK13" s="233">
        <v>0.93048128342245995</v>
      </c>
      <c r="BL13" s="231">
        <v>1006.8535984582594</v>
      </c>
      <c r="BM13" s="225">
        <v>6.8535984582594744E-3</v>
      </c>
      <c r="BN13" s="226">
        <v>2.4470132419102</v>
      </c>
      <c r="BO13" s="226">
        <v>1.9881982590520377</v>
      </c>
      <c r="BP13" s="222">
        <v>32.040579636261683</v>
      </c>
      <c r="BQ13" s="222">
        <v>28.599467264825464</v>
      </c>
      <c r="BR13" s="222">
        <v>58.957725297273882</v>
      </c>
      <c r="BS13" s="222">
        <v>51.999031390591753</v>
      </c>
      <c r="BT13" s="222">
        <v>6.9586939066821287</v>
      </c>
      <c r="BU13" s="218">
        <v>32</v>
      </c>
      <c r="BV13" s="218">
        <v>26</v>
      </c>
      <c r="BW13" s="231">
        <v>387</v>
      </c>
      <c r="BX13" s="231">
        <v>348</v>
      </c>
      <c r="BY13" s="231">
        <v>171</v>
      </c>
      <c r="BZ13" s="231">
        <v>147</v>
      </c>
      <c r="CA13" s="231">
        <v>159</v>
      </c>
      <c r="CB13" s="231">
        <v>181</v>
      </c>
      <c r="CC13" s="218">
        <v>329</v>
      </c>
      <c r="CD13" s="218">
        <v>295</v>
      </c>
      <c r="CE13" s="225">
        <v>0.52724358974358976</v>
      </c>
      <c r="CF13" s="219">
        <v>0.73</v>
      </c>
      <c r="CG13" s="234">
        <v>4.6257628721993687</v>
      </c>
      <c r="CH13" s="226">
        <v>2.4466158887874663</v>
      </c>
      <c r="CI13" s="226">
        <v>2.5588459754290929</v>
      </c>
      <c r="CJ13" s="226">
        <v>28.214643781705</v>
      </c>
      <c r="CK13" s="226">
        <v>28.641118110943182</v>
      </c>
      <c r="CL13" s="226">
        <v>56.317057476768369</v>
      </c>
      <c r="CM13" s="226">
        <v>55.127418558367133</v>
      </c>
      <c r="CN13" s="222">
        <v>5.7690549882808924</v>
      </c>
      <c r="CO13" s="231">
        <v>109</v>
      </c>
      <c r="CP13" s="231">
        <v>114</v>
      </c>
      <c r="CQ13" s="231">
        <v>1148</v>
      </c>
      <c r="CR13" s="231">
        <v>1162</v>
      </c>
      <c r="CS13" s="231">
        <v>624</v>
      </c>
      <c r="CT13" s="231">
        <v>538</v>
      </c>
      <c r="CU13" s="231">
        <v>642</v>
      </c>
      <c r="CV13" s="231">
        <v>628</v>
      </c>
      <c r="CW13" s="218">
        <v>4</v>
      </c>
      <c r="CX13" s="218">
        <v>1</v>
      </c>
      <c r="CY13" s="231">
        <v>-3</v>
      </c>
      <c r="CZ13" s="226">
        <v>0.30009377930603309</v>
      </c>
      <c r="DA13" s="226">
        <v>7.5023444826508273E-2</v>
      </c>
      <c r="DB13" s="226">
        <v>-0.22507033447952485</v>
      </c>
      <c r="DC13" s="220">
        <v>32</v>
      </c>
      <c r="DD13" s="220">
        <v>28</v>
      </c>
      <c r="DE13" s="227">
        <v>29.97</v>
      </c>
      <c r="DF13" s="227">
        <v>30.36</v>
      </c>
      <c r="DG13" s="227">
        <v>29.58</v>
      </c>
      <c r="DH13" s="227">
        <v>28.55</v>
      </c>
      <c r="DI13" s="220">
        <v>282</v>
      </c>
      <c r="DJ13" s="220">
        <v>329</v>
      </c>
      <c r="DK13" s="225">
        <v>0.46153846153846156</v>
      </c>
      <c r="DL13" s="231">
        <v>190</v>
      </c>
      <c r="DM13" s="231">
        <v>82</v>
      </c>
      <c r="DN13" s="220">
        <v>26</v>
      </c>
      <c r="DO13" s="220">
        <v>2</v>
      </c>
      <c r="DP13" s="220">
        <v>0.126</v>
      </c>
      <c r="DQ13" s="220">
        <v>1</v>
      </c>
      <c r="DR13" s="220">
        <v>0</v>
      </c>
      <c r="DS13" s="220">
        <v>5.0000000000000001E-3</v>
      </c>
      <c r="DT13" s="220">
        <v>181</v>
      </c>
      <c r="DU13" s="235">
        <v>75</v>
      </c>
      <c r="DV13" s="220">
        <v>3</v>
      </c>
      <c r="DW13" s="220">
        <v>26</v>
      </c>
      <c r="DX13" s="220">
        <v>-0.127</v>
      </c>
      <c r="DY13" s="220">
        <v>0</v>
      </c>
      <c r="DZ13" s="220">
        <v>3</v>
      </c>
      <c r="EA13" s="220">
        <v>-1.7000000000000001E-2</v>
      </c>
    </row>
    <row r="14" spans="1:131" ht="26.25" x14ac:dyDescent="0.25">
      <c r="A14" s="239" t="s">
        <v>182</v>
      </c>
      <c r="B14" s="239" t="s">
        <v>183</v>
      </c>
      <c r="C14" s="247" t="s">
        <v>184</v>
      </c>
      <c r="D14" s="237" t="s">
        <v>185</v>
      </c>
      <c r="E14" s="239" t="s">
        <v>132</v>
      </c>
      <c r="F14" s="941">
        <f>(27/46)</f>
        <v>0.58695652173913049</v>
      </c>
      <c r="G14" s="941" t="s">
        <v>456</v>
      </c>
      <c r="H14" s="941">
        <f>(28/25)</f>
        <v>1.1200000000000001</v>
      </c>
      <c r="I14" s="239">
        <v>46</v>
      </c>
      <c r="J14" s="239">
        <v>8</v>
      </c>
      <c r="K14" s="239">
        <v>16</v>
      </c>
      <c r="L14" s="248">
        <v>24</v>
      </c>
      <c r="M14" s="242">
        <v>2.5571208713154112</v>
      </c>
      <c r="N14" s="237">
        <v>8</v>
      </c>
      <c r="O14" s="237">
        <v>7</v>
      </c>
      <c r="P14" s="237">
        <v>7</v>
      </c>
      <c r="Q14" s="237">
        <v>77</v>
      </c>
      <c r="R14" s="237">
        <v>35</v>
      </c>
      <c r="S14" s="237">
        <v>33</v>
      </c>
      <c r="T14" s="237">
        <v>84</v>
      </c>
      <c r="U14" s="240">
        <v>0.1038961038961039</v>
      </c>
      <c r="V14" s="240">
        <v>5.5172413793103448E-2</v>
      </c>
      <c r="W14" s="241">
        <v>563.13333333330002</v>
      </c>
      <c r="X14" s="241">
        <v>12.242028985506522</v>
      </c>
      <c r="Y14" s="241">
        <v>528.55999999999995</v>
      </c>
      <c r="Z14" s="241">
        <v>11.490434782608695</v>
      </c>
      <c r="AA14" s="241">
        <v>1711.31</v>
      </c>
      <c r="AB14" s="241">
        <v>37.202391304347827</v>
      </c>
      <c r="AC14" s="244">
        <v>0.23597798086496088</v>
      </c>
      <c r="AD14" s="243">
        <v>79.851851851851848</v>
      </c>
      <c r="AE14" s="236">
        <v>11</v>
      </c>
      <c r="AF14" s="237">
        <v>18</v>
      </c>
      <c r="AG14" s="237">
        <v>51</v>
      </c>
      <c r="AH14" s="237">
        <v>27</v>
      </c>
      <c r="AI14" s="237">
        <v>22</v>
      </c>
      <c r="AJ14" s="240">
        <v>0.29629629629629628</v>
      </c>
      <c r="AK14" s="240">
        <v>0.51851851851851849</v>
      </c>
      <c r="AL14" s="240">
        <v>0.81481481481481477</v>
      </c>
      <c r="AM14" s="237">
        <v>209</v>
      </c>
      <c r="AN14" s="244">
        <v>0.47499999999999998</v>
      </c>
      <c r="AO14" s="237">
        <v>93</v>
      </c>
      <c r="AP14" s="244">
        <v>0.21136363636363636</v>
      </c>
      <c r="AQ14" s="237">
        <v>138</v>
      </c>
      <c r="AR14" s="244">
        <v>0.31363636363636366</v>
      </c>
      <c r="AS14" s="244">
        <v>0.69205298013245031</v>
      </c>
      <c r="AT14" s="237">
        <v>16</v>
      </c>
      <c r="AU14" s="238">
        <v>25.57</v>
      </c>
      <c r="AV14" s="249">
        <v>249</v>
      </c>
      <c r="AW14" s="249">
        <v>193</v>
      </c>
      <c r="AX14" s="249">
        <v>143</v>
      </c>
      <c r="AY14" s="244">
        <v>0.56334841628959276</v>
      </c>
      <c r="AZ14" s="245">
        <v>17.04</v>
      </c>
      <c r="BA14" s="250">
        <v>10</v>
      </c>
      <c r="BB14" s="249">
        <v>-0.11900000000000001</v>
      </c>
      <c r="BC14" s="237">
        <v>10</v>
      </c>
      <c r="BD14" s="251">
        <v>-1.9E-2</v>
      </c>
      <c r="BE14" s="241">
        <v>50.1</v>
      </c>
      <c r="BF14" s="245">
        <v>17.84</v>
      </c>
      <c r="BG14" s="251">
        <v>-0.193</v>
      </c>
      <c r="BH14" s="251">
        <v>3.4249999999999998</v>
      </c>
      <c r="BI14" s="241">
        <v>51.41</v>
      </c>
      <c r="BJ14" s="244">
        <v>8.7662337662337664E-2</v>
      </c>
      <c r="BK14" s="252">
        <v>0.9517241379310345</v>
      </c>
      <c r="BL14" s="250">
        <v>1039.3864755933721</v>
      </c>
      <c r="BM14" s="244">
        <v>3.9386475593372161E-2</v>
      </c>
      <c r="BN14" s="245">
        <v>3.0649311336461329</v>
      </c>
      <c r="BO14" s="245">
        <v>1.5892235507794765</v>
      </c>
      <c r="BP14" s="241">
        <v>34.962918117148483</v>
      </c>
      <c r="BQ14" s="241">
        <v>32.919630694717732</v>
      </c>
      <c r="BR14" s="241">
        <v>66.293325261086736</v>
      </c>
      <c r="BS14" s="241">
        <v>53.920084758589375</v>
      </c>
      <c r="BT14" s="241">
        <v>12.37324050249736</v>
      </c>
      <c r="BU14" s="237">
        <v>27</v>
      </c>
      <c r="BV14" s="237">
        <v>14</v>
      </c>
      <c r="BW14" s="250">
        <v>281</v>
      </c>
      <c r="BX14" s="250">
        <v>276</v>
      </c>
      <c r="BY14" s="250">
        <v>128</v>
      </c>
      <c r="BZ14" s="250">
        <v>90</v>
      </c>
      <c r="CA14" s="250">
        <v>95</v>
      </c>
      <c r="CB14" s="250">
        <v>148</v>
      </c>
      <c r="CC14" s="237">
        <v>296</v>
      </c>
      <c r="CD14" s="237">
        <v>240</v>
      </c>
      <c r="CE14" s="244">
        <v>0.55223880597014929</v>
      </c>
      <c r="CF14" s="238">
        <v>6.14</v>
      </c>
      <c r="CG14" s="253">
        <v>4.2299689793185511</v>
      </c>
      <c r="CH14" s="245">
        <v>1.8932864296942109</v>
      </c>
      <c r="CI14" s="245">
        <v>2.2088341679765797</v>
      </c>
      <c r="CJ14" s="245">
        <v>29.591365678924333</v>
      </c>
      <c r="CK14" s="245">
        <v>29.52124395930603</v>
      </c>
      <c r="CL14" s="245">
        <v>54.659880442468051</v>
      </c>
      <c r="CM14" s="245">
        <v>55.887010535788377</v>
      </c>
      <c r="CN14" s="241">
        <v>13.600370595817687</v>
      </c>
      <c r="CO14" s="250">
        <v>54</v>
      </c>
      <c r="CP14" s="250">
        <v>63</v>
      </c>
      <c r="CQ14" s="250">
        <v>790</v>
      </c>
      <c r="CR14" s="250">
        <v>779</v>
      </c>
      <c r="CS14" s="250">
        <v>301</v>
      </c>
      <c r="CT14" s="250">
        <v>347</v>
      </c>
      <c r="CU14" s="250">
        <v>405</v>
      </c>
      <c r="CV14" s="250">
        <v>414</v>
      </c>
      <c r="CW14" s="237">
        <v>4</v>
      </c>
      <c r="CX14" s="237">
        <v>8</v>
      </c>
      <c r="CY14" s="250">
        <v>4</v>
      </c>
      <c r="CZ14" s="245">
        <v>0.42618681188590185</v>
      </c>
      <c r="DA14" s="245">
        <v>0.8523736237718037</v>
      </c>
      <c r="DB14" s="245">
        <v>0.42618681188590185</v>
      </c>
      <c r="DC14" s="239">
        <v>22</v>
      </c>
      <c r="DD14" s="239">
        <v>21</v>
      </c>
      <c r="DE14" s="246">
        <v>16.309999999999999</v>
      </c>
      <c r="DF14" s="246">
        <v>19.16</v>
      </c>
      <c r="DG14" s="246">
        <v>18.63</v>
      </c>
      <c r="DH14" s="246">
        <v>19.61</v>
      </c>
      <c r="DI14" s="239">
        <v>4</v>
      </c>
      <c r="DJ14" s="239">
        <v>12</v>
      </c>
      <c r="DK14" s="244">
        <v>0.25</v>
      </c>
      <c r="DL14" s="250">
        <v>14</v>
      </c>
      <c r="DM14" s="250">
        <v>3</v>
      </c>
      <c r="DN14" s="239">
        <v>1</v>
      </c>
      <c r="DO14" s="239">
        <v>1</v>
      </c>
      <c r="DP14" s="239">
        <v>0</v>
      </c>
      <c r="DQ14" s="239">
        <v>0</v>
      </c>
      <c r="DR14" s="239">
        <v>0</v>
      </c>
      <c r="DS14" s="239">
        <v>0</v>
      </c>
      <c r="DT14" s="239">
        <v>2</v>
      </c>
      <c r="DU14" s="254">
        <v>1</v>
      </c>
      <c r="DV14" s="239">
        <v>0</v>
      </c>
      <c r="DW14" s="239">
        <v>0</v>
      </c>
      <c r="DX14" s="239">
        <v>0</v>
      </c>
      <c r="DY14" s="239">
        <v>0</v>
      </c>
      <c r="DZ14" s="239">
        <v>0</v>
      </c>
      <c r="EA14" s="239">
        <v>0</v>
      </c>
    </row>
    <row r="15" spans="1:131" ht="26.25" x14ac:dyDescent="0.25">
      <c r="A15" s="258" t="s">
        <v>186</v>
      </c>
      <c r="B15" s="258" t="s">
        <v>187</v>
      </c>
      <c r="C15" s="266" t="s">
        <v>188</v>
      </c>
      <c r="D15" s="256" t="s">
        <v>189</v>
      </c>
      <c r="E15" s="258" t="s">
        <v>155</v>
      </c>
      <c r="F15" s="941">
        <f>(25/68)</f>
        <v>0.36764705882352944</v>
      </c>
      <c r="G15" s="941" t="s">
        <v>459</v>
      </c>
      <c r="H15" s="941">
        <f>(74/54)</f>
        <v>1.3703703703703705</v>
      </c>
      <c r="I15" s="258">
        <v>68</v>
      </c>
      <c r="J15" s="258">
        <v>12</v>
      </c>
      <c r="K15" s="258">
        <v>12</v>
      </c>
      <c r="L15" s="267">
        <v>24</v>
      </c>
      <c r="M15" s="261">
        <v>1.8750813837405325</v>
      </c>
      <c r="N15" s="256">
        <v>12</v>
      </c>
      <c r="O15" s="256">
        <v>6</v>
      </c>
      <c r="P15" s="256">
        <v>4</v>
      </c>
      <c r="Q15" s="256">
        <v>82</v>
      </c>
      <c r="R15" s="256">
        <v>26</v>
      </c>
      <c r="S15" s="256">
        <v>20</v>
      </c>
      <c r="T15" s="256">
        <v>98</v>
      </c>
      <c r="U15" s="259">
        <v>0.14634146341463414</v>
      </c>
      <c r="V15" s="259">
        <v>9.375E-2</v>
      </c>
      <c r="W15" s="260">
        <v>767.96666666670001</v>
      </c>
      <c r="X15" s="260">
        <v>11.293627450980882</v>
      </c>
      <c r="Y15" s="260">
        <v>753.45</v>
      </c>
      <c r="Z15" s="260">
        <v>11.080147058823529</v>
      </c>
      <c r="AA15" s="260">
        <v>2521.1</v>
      </c>
      <c r="AB15" s="260">
        <v>37.074999999999996</v>
      </c>
      <c r="AC15" s="263">
        <v>0.23009268449099879</v>
      </c>
      <c r="AD15" s="262">
        <v>73.5</v>
      </c>
      <c r="AE15" s="255">
        <v>44</v>
      </c>
      <c r="AF15" s="256">
        <v>69</v>
      </c>
      <c r="AG15" s="256">
        <v>46</v>
      </c>
      <c r="AH15" s="256">
        <v>10</v>
      </c>
      <c r="AI15" s="256">
        <v>13</v>
      </c>
      <c r="AJ15" s="259">
        <v>0.42857142857142855</v>
      </c>
      <c r="AK15" s="259">
        <v>0.35714285714285715</v>
      </c>
      <c r="AL15" s="259">
        <v>0.7857142857142857</v>
      </c>
      <c r="AM15" s="256">
        <v>220</v>
      </c>
      <c r="AN15" s="263">
        <v>0.30013642564802184</v>
      </c>
      <c r="AO15" s="256">
        <v>245</v>
      </c>
      <c r="AP15" s="263">
        <v>0.33424283765347884</v>
      </c>
      <c r="AQ15" s="256">
        <v>268</v>
      </c>
      <c r="AR15" s="263">
        <v>0.36562073669849932</v>
      </c>
      <c r="AS15" s="263">
        <v>0.4731182795698925</v>
      </c>
      <c r="AT15" s="256">
        <v>4</v>
      </c>
      <c r="AU15" s="257">
        <v>-3.65</v>
      </c>
      <c r="AV15" s="268">
        <v>253</v>
      </c>
      <c r="AW15" s="268">
        <v>294</v>
      </c>
      <c r="AX15" s="268">
        <v>256</v>
      </c>
      <c r="AY15" s="263">
        <v>0.46252285191956122</v>
      </c>
      <c r="AZ15" s="264">
        <v>16.989999999999998</v>
      </c>
      <c r="BA15" s="269">
        <v>13</v>
      </c>
      <c r="BB15" s="268">
        <v>7.9000000000000001E-2</v>
      </c>
      <c r="BC15" s="256">
        <v>12</v>
      </c>
      <c r="BD15" s="270">
        <v>0.435</v>
      </c>
      <c r="BE15" s="260">
        <v>50.18</v>
      </c>
      <c r="BF15" s="264">
        <v>17.260000000000002</v>
      </c>
      <c r="BG15" s="270">
        <v>-3.4119999999999999</v>
      </c>
      <c r="BH15" s="270">
        <v>-3.9249999999999998</v>
      </c>
      <c r="BI15" s="260">
        <v>49.7</v>
      </c>
      <c r="BJ15" s="263">
        <v>8.1632653061224483E-2</v>
      </c>
      <c r="BK15" s="271">
        <v>0.91442542787286063</v>
      </c>
      <c r="BL15" s="269">
        <v>996.05808093408507</v>
      </c>
      <c r="BM15" s="263">
        <v>-3.9419190659148867E-3</v>
      </c>
      <c r="BN15" s="264">
        <v>2.2297431813657176</v>
      </c>
      <c r="BO15" s="264">
        <v>2.7871789767071471</v>
      </c>
      <c r="BP15" s="260">
        <v>27.314353971730039</v>
      </c>
      <c r="BQ15" s="260">
        <v>32.57017718494923</v>
      </c>
      <c r="BR15" s="260">
        <v>49.293251045192115</v>
      </c>
      <c r="BS15" s="260">
        <v>60.760501692215804</v>
      </c>
      <c r="BT15" s="260">
        <v>-11.46725064702369</v>
      </c>
      <c r="BU15" s="256">
        <v>28</v>
      </c>
      <c r="BV15" s="256">
        <v>35</v>
      </c>
      <c r="BW15" s="269">
        <v>315</v>
      </c>
      <c r="BX15" s="269">
        <v>374</v>
      </c>
      <c r="BY15" s="269">
        <v>135</v>
      </c>
      <c r="BZ15" s="269">
        <v>139</v>
      </c>
      <c r="CA15" s="269">
        <v>215</v>
      </c>
      <c r="CB15" s="269">
        <v>141</v>
      </c>
      <c r="CC15" s="256">
        <v>322</v>
      </c>
      <c r="CD15" s="256">
        <v>375</v>
      </c>
      <c r="CE15" s="263">
        <v>0.46197991391678622</v>
      </c>
      <c r="CF15" s="257">
        <v>-2.63</v>
      </c>
      <c r="CG15" s="272">
        <v>-6.55208935670111</v>
      </c>
      <c r="CH15" s="264">
        <v>2.7606996945777635</v>
      </c>
      <c r="CI15" s="264">
        <v>2.4037126651065011</v>
      </c>
      <c r="CJ15" s="264">
        <v>30.462893181547738</v>
      </c>
      <c r="CK15" s="264">
        <v>28.77315457538376</v>
      </c>
      <c r="CL15" s="264">
        <v>55.927967950497802</v>
      </c>
      <c r="CM15" s="264">
        <v>55.642378326920792</v>
      </c>
      <c r="CN15" s="260">
        <v>-11.7528402706007</v>
      </c>
      <c r="CO15" s="269">
        <v>116</v>
      </c>
      <c r="CP15" s="269">
        <v>101</v>
      </c>
      <c r="CQ15" s="269">
        <v>1164</v>
      </c>
      <c r="CR15" s="269">
        <v>1108</v>
      </c>
      <c r="CS15" s="269">
        <v>466</v>
      </c>
      <c r="CT15" s="269">
        <v>491</v>
      </c>
      <c r="CU15" s="269">
        <v>638</v>
      </c>
      <c r="CV15" s="269">
        <v>604</v>
      </c>
      <c r="CW15" s="256">
        <v>7</v>
      </c>
      <c r="CX15" s="256">
        <v>6</v>
      </c>
      <c r="CY15" s="269">
        <v>-1</v>
      </c>
      <c r="CZ15" s="264">
        <v>0.546898736924322</v>
      </c>
      <c r="DA15" s="264">
        <v>0.46877034593513311</v>
      </c>
      <c r="DB15" s="264">
        <v>-7.8128390989188848E-2</v>
      </c>
      <c r="DC15" s="258">
        <v>30</v>
      </c>
      <c r="DD15" s="258">
        <v>34</v>
      </c>
      <c r="DE15" s="265">
        <v>26.94</v>
      </c>
      <c r="DF15" s="265">
        <v>29.43</v>
      </c>
      <c r="DG15" s="265">
        <v>25.7</v>
      </c>
      <c r="DH15" s="265">
        <v>30.67</v>
      </c>
      <c r="DI15" s="258">
        <v>394</v>
      </c>
      <c r="DJ15" s="258">
        <v>360</v>
      </c>
      <c r="DK15" s="263">
        <v>0.52254641909814326</v>
      </c>
      <c r="DL15" s="269">
        <v>226</v>
      </c>
      <c r="DM15" s="269">
        <v>124</v>
      </c>
      <c r="DN15" s="258">
        <v>46</v>
      </c>
      <c r="DO15" s="258">
        <v>1</v>
      </c>
      <c r="DP15" s="258">
        <v>0.19900000000000001</v>
      </c>
      <c r="DQ15" s="258">
        <v>1</v>
      </c>
      <c r="DR15" s="258">
        <v>0</v>
      </c>
      <c r="DS15" s="258">
        <v>4.0000000000000001E-3</v>
      </c>
      <c r="DT15" s="258">
        <v>257</v>
      </c>
      <c r="DU15" s="273">
        <v>140</v>
      </c>
      <c r="DV15" s="258">
        <v>2</v>
      </c>
      <c r="DW15" s="258">
        <v>41</v>
      </c>
      <c r="DX15" s="258">
        <v>-0.152</v>
      </c>
      <c r="DY15" s="258">
        <v>1</v>
      </c>
      <c r="DZ15" s="258">
        <v>2</v>
      </c>
      <c r="EA15" s="258">
        <v>-4.0000000000000001E-3</v>
      </c>
    </row>
    <row r="16" spans="1:131" ht="39" x14ac:dyDescent="0.25">
      <c r="A16" s="277" t="s">
        <v>190</v>
      </c>
      <c r="B16" s="277" t="s">
        <v>191</v>
      </c>
      <c r="C16" s="285" t="s">
        <v>192</v>
      </c>
      <c r="D16" s="275" t="s">
        <v>193</v>
      </c>
      <c r="E16" s="277" t="s">
        <v>155</v>
      </c>
      <c r="F16" s="941">
        <f>24/53</f>
        <v>0.45283018867924529</v>
      </c>
      <c r="G16" s="941" t="s">
        <v>458</v>
      </c>
      <c r="H16" s="941">
        <f>(25/48)</f>
        <v>0.52083333333333337</v>
      </c>
      <c r="I16" s="277">
        <v>53</v>
      </c>
      <c r="J16" s="277">
        <v>12</v>
      </c>
      <c r="K16" s="277">
        <v>11</v>
      </c>
      <c r="L16" s="286">
        <v>23</v>
      </c>
      <c r="M16" s="280">
        <v>1.832223230289298</v>
      </c>
      <c r="N16" s="275">
        <v>12</v>
      </c>
      <c r="O16" s="275">
        <v>3</v>
      </c>
      <c r="P16" s="275">
        <v>5</v>
      </c>
      <c r="Q16" s="275">
        <v>94</v>
      </c>
      <c r="R16" s="275">
        <v>39</v>
      </c>
      <c r="S16" s="275">
        <v>30</v>
      </c>
      <c r="T16" s="275">
        <v>108</v>
      </c>
      <c r="U16" s="278">
        <v>0.1276595744680851</v>
      </c>
      <c r="V16" s="278">
        <v>7.3619631901840496E-2</v>
      </c>
      <c r="W16" s="279">
        <v>753.18333333329997</v>
      </c>
      <c r="X16" s="279">
        <v>14.211006289307546</v>
      </c>
      <c r="Y16" s="279">
        <v>726.61</v>
      </c>
      <c r="Z16" s="279">
        <v>13.709622641509434</v>
      </c>
      <c r="AA16" s="279">
        <v>1856.88</v>
      </c>
      <c r="AB16" s="279">
        <v>35.035471698113213</v>
      </c>
      <c r="AC16" s="282">
        <v>0.28125133056446894</v>
      </c>
      <c r="AD16" s="281">
        <v>38</v>
      </c>
      <c r="AE16" s="274">
        <v>22</v>
      </c>
      <c r="AF16" s="275">
        <v>49</v>
      </c>
      <c r="AG16" s="275">
        <v>101</v>
      </c>
      <c r="AH16" s="275">
        <v>21</v>
      </c>
      <c r="AI16" s="275">
        <v>21</v>
      </c>
      <c r="AJ16" s="278">
        <v>0.4</v>
      </c>
      <c r="AK16" s="278">
        <v>0.26666666666666666</v>
      </c>
      <c r="AL16" s="278">
        <v>0.66666666666666674</v>
      </c>
      <c r="AM16" s="275">
        <v>263</v>
      </c>
      <c r="AN16" s="282">
        <v>0.33081761006289306</v>
      </c>
      <c r="AO16" s="275">
        <v>258</v>
      </c>
      <c r="AP16" s="282">
        <v>0.32452830188679244</v>
      </c>
      <c r="AQ16" s="275">
        <v>274</v>
      </c>
      <c r="AR16" s="282">
        <v>0.34465408805031444</v>
      </c>
      <c r="AS16" s="282">
        <v>0.50479846449136279</v>
      </c>
      <c r="AT16" s="275">
        <v>11</v>
      </c>
      <c r="AU16" s="276">
        <v>2.77</v>
      </c>
      <c r="AV16" s="287">
        <v>305</v>
      </c>
      <c r="AW16" s="287">
        <v>276</v>
      </c>
      <c r="AX16" s="287">
        <v>247</v>
      </c>
      <c r="AY16" s="282">
        <v>0.52495697074010328</v>
      </c>
      <c r="AZ16" s="283">
        <v>17.75</v>
      </c>
      <c r="BA16" s="288">
        <v>5</v>
      </c>
      <c r="BB16" s="287">
        <v>0.51900000000000002</v>
      </c>
      <c r="BC16" s="275">
        <v>7</v>
      </c>
      <c r="BD16" s="289">
        <v>0.82</v>
      </c>
      <c r="BE16" s="279">
        <v>50.37</v>
      </c>
      <c r="BF16" s="283">
        <v>18.52</v>
      </c>
      <c r="BG16" s="289">
        <v>6.2759999999999998</v>
      </c>
      <c r="BH16" s="289">
        <v>7.2290000000000001</v>
      </c>
      <c r="BI16" s="279">
        <v>52.7</v>
      </c>
      <c r="BJ16" s="282">
        <v>7.8947368421052627E-2</v>
      </c>
      <c r="BK16" s="290">
        <v>0.90536277602523663</v>
      </c>
      <c r="BL16" s="288">
        <v>984.3101444462892</v>
      </c>
      <c r="BM16" s="282">
        <v>-1.5689855553710746E-2</v>
      </c>
      <c r="BN16" s="283">
        <v>2.4772574008064852</v>
      </c>
      <c r="BO16" s="283">
        <v>2.4772574008064852</v>
      </c>
      <c r="BP16" s="279">
        <v>31.378593743548809</v>
      </c>
      <c r="BQ16" s="279">
        <v>26.176353201855193</v>
      </c>
      <c r="BR16" s="279">
        <v>61.931435020162127</v>
      </c>
      <c r="BS16" s="279">
        <v>51.774679676855527</v>
      </c>
      <c r="BT16" s="279">
        <v>10.1567553433066</v>
      </c>
      <c r="BU16" s="275">
        <v>30</v>
      </c>
      <c r="BV16" s="275">
        <v>30</v>
      </c>
      <c r="BW16" s="288">
        <v>350</v>
      </c>
      <c r="BX16" s="288">
        <v>287</v>
      </c>
      <c r="BY16" s="288">
        <v>161</v>
      </c>
      <c r="BZ16" s="288">
        <v>137</v>
      </c>
      <c r="CA16" s="288">
        <v>173</v>
      </c>
      <c r="CB16" s="288">
        <v>209</v>
      </c>
      <c r="CC16" s="275">
        <v>351</v>
      </c>
      <c r="CD16" s="275">
        <v>294</v>
      </c>
      <c r="CE16" s="282">
        <v>0.54418604651162794</v>
      </c>
      <c r="CF16" s="276">
        <v>5.32</v>
      </c>
      <c r="CG16" s="291">
        <v>3.542592195513893</v>
      </c>
      <c r="CH16" s="283">
        <v>2.294170867261212</v>
      </c>
      <c r="CI16" s="283">
        <v>2.5203567274137257</v>
      </c>
      <c r="CJ16" s="283">
        <v>30.115031666020414</v>
      </c>
      <c r="CK16" s="283">
        <v>30.761276980741886</v>
      </c>
      <c r="CL16" s="283">
        <v>59.777691611735804</v>
      </c>
      <c r="CM16" s="283">
        <v>61.13480677265089</v>
      </c>
      <c r="CN16" s="279">
        <v>11.513870504221686</v>
      </c>
      <c r="CO16" s="288">
        <v>71</v>
      </c>
      <c r="CP16" s="288">
        <v>78</v>
      </c>
      <c r="CQ16" s="288">
        <v>861</v>
      </c>
      <c r="CR16" s="288">
        <v>874</v>
      </c>
      <c r="CS16" s="288">
        <v>413</v>
      </c>
      <c r="CT16" s="288">
        <v>404</v>
      </c>
      <c r="CU16" s="288">
        <v>536</v>
      </c>
      <c r="CV16" s="288">
        <v>505</v>
      </c>
      <c r="CW16" s="275">
        <v>8</v>
      </c>
      <c r="CX16" s="275">
        <v>7</v>
      </c>
      <c r="CY16" s="288">
        <v>-1</v>
      </c>
      <c r="CZ16" s="283">
        <v>0.63729503662236453</v>
      </c>
      <c r="DA16" s="283">
        <v>0.55763315704456895</v>
      </c>
      <c r="DB16" s="283">
        <v>-7.9661879577795566E-2</v>
      </c>
      <c r="DC16" s="277">
        <v>32</v>
      </c>
      <c r="DD16" s="277">
        <v>26</v>
      </c>
      <c r="DE16" s="284">
        <v>24.63</v>
      </c>
      <c r="DF16" s="284">
        <v>27.28</v>
      </c>
      <c r="DG16" s="284">
        <v>29.44</v>
      </c>
      <c r="DH16" s="284">
        <v>27.04</v>
      </c>
      <c r="DI16" s="277">
        <v>8</v>
      </c>
      <c r="DJ16" s="277">
        <v>12</v>
      </c>
      <c r="DK16" s="282">
        <v>0.4</v>
      </c>
      <c r="DL16" s="288">
        <v>16</v>
      </c>
      <c r="DM16" s="288">
        <v>6</v>
      </c>
      <c r="DN16" s="277">
        <v>1</v>
      </c>
      <c r="DO16" s="277">
        <v>0</v>
      </c>
      <c r="DP16" s="277">
        <v>6.3E-2</v>
      </c>
      <c r="DQ16" s="277">
        <v>0</v>
      </c>
      <c r="DR16" s="277">
        <v>0</v>
      </c>
      <c r="DS16" s="277">
        <v>0</v>
      </c>
      <c r="DT16" s="277">
        <v>1</v>
      </c>
      <c r="DU16" s="292">
        <v>0</v>
      </c>
      <c r="DV16" s="277">
        <v>0</v>
      </c>
      <c r="DW16" s="277">
        <v>0</v>
      </c>
      <c r="DX16" s="277">
        <v>0</v>
      </c>
      <c r="DY16" s="277">
        <v>0</v>
      </c>
      <c r="DZ16" s="277">
        <v>0</v>
      </c>
      <c r="EA16" s="277">
        <v>0</v>
      </c>
    </row>
    <row r="17" spans="1:131" ht="26.25" x14ac:dyDescent="0.25">
      <c r="A17" s="296" t="s">
        <v>194</v>
      </c>
      <c r="B17" s="296" t="s">
        <v>195</v>
      </c>
      <c r="C17" s="304" t="s">
        <v>196</v>
      </c>
      <c r="D17" s="294" t="s">
        <v>136</v>
      </c>
      <c r="E17" s="296" t="s">
        <v>142</v>
      </c>
      <c r="F17" s="941">
        <f>(24/60)</f>
        <v>0.4</v>
      </c>
      <c r="G17" s="941" t="s">
        <v>456</v>
      </c>
      <c r="H17" s="941">
        <f>27/73</f>
        <v>0.36986301369863012</v>
      </c>
      <c r="I17" s="296">
        <v>60</v>
      </c>
      <c r="J17" s="296">
        <v>8</v>
      </c>
      <c r="K17" s="296">
        <v>11</v>
      </c>
      <c r="L17" s="305">
        <v>19</v>
      </c>
      <c r="M17" s="299">
        <v>1.4966522252855454</v>
      </c>
      <c r="N17" s="294">
        <v>6</v>
      </c>
      <c r="O17" s="294">
        <v>4</v>
      </c>
      <c r="P17" s="294">
        <v>6</v>
      </c>
      <c r="Q17" s="294">
        <v>72</v>
      </c>
      <c r="R17" s="294">
        <v>37</v>
      </c>
      <c r="S17" s="294">
        <v>29</v>
      </c>
      <c r="T17" s="294">
        <v>82</v>
      </c>
      <c r="U17" s="297">
        <v>0.1111111111111111</v>
      </c>
      <c r="V17" s="297">
        <v>5.7971014492753624E-2</v>
      </c>
      <c r="W17" s="298">
        <v>761.7</v>
      </c>
      <c r="X17" s="298">
        <v>12.695</v>
      </c>
      <c r="Y17" s="298">
        <v>732.78</v>
      </c>
      <c r="Z17" s="298">
        <v>12.212999999999999</v>
      </c>
      <c r="AA17" s="298">
        <v>2205.11</v>
      </c>
      <c r="AB17" s="298">
        <v>36.751833333333337</v>
      </c>
      <c r="AC17" s="301">
        <v>0.24942390627286926</v>
      </c>
      <c r="AD17" s="300">
        <v>41.733333333333334</v>
      </c>
      <c r="AE17" s="293">
        <v>24</v>
      </c>
      <c r="AF17" s="294">
        <v>57</v>
      </c>
      <c r="AG17" s="294">
        <v>59</v>
      </c>
      <c r="AH17" s="294">
        <v>27</v>
      </c>
      <c r="AI17" s="294">
        <v>35</v>
      </c>
      <c r="AJ17" s="297">
        <v>0.26666666666666666</v>
      </c>
      <c r="AK17" s="297">
        <v>0.33333333333333331</v>
      </c>
      <c r="AL17" s="297">
        <v>0.6</v>
      </c>
      <c r="AM17" s="294">
        <v>231</v>
      </c>
      <c r="AN17" s="301">
        <v>0.34684684684684686</v>
      </c>
      <c r="AO17" s="294">
        <v>220</v>
      </c>
      <c r="AP17" s="301">
        <v>0.33033033033033032</v>
      </c>
      <c r="AQ17" s="294">
        <v>215</v>
      </c>
      <c r="AR17" s="301">
        <v>0.32282282282282282</v>
      </c>
      <c r="AS17" s="301">
        <v>0.51219512195121952</v>
      </c>
      <c r="AT17" s="294">
        <v>11</v>
      </c>
      <c r="AU17" s="295">
        <v>6.41</v>
      </c>
      <c r="AV17" s="306">
        <v>284</v>
      </c>
      <c r="AW17" s="306">
        <v>286</v>
      </c>
      <c r="AX17" s="306">
        <v>230</v>
      </c>
      <c r="AY17" s="301">
        <v>0.49824561403508771</v>
      </c>
      <c r="AZ17" s="302">
        <v>17.190000000000001</v>
      </c>
      <c r="BA17" s="307">
        <v>10</v>
      </c>
      <c r="BB17" s="306">
        <v>8.5000000000000006E-2</v>
      </c>
      <c r="BC17" s="294">
        <v>10</v>
      </c>
      <c r="BD17" s="308">
        <v>-0.26</v>
      </c>
      <c r="BE17" s="298">
        <v>49.82</v>
      </c>
      <c r="BF17" s="302">
        <v>17.8</v>
      </c>
      <c r="BG17" s="308">
        <v>8.7000000000000008E-2</v>
      </c>
      <c r="BH17" s="308">
        <v>-11.484</v>
      </c>
      <c r="BI17" s="298">
        <v>45.45</v>
      </c>
      <c r="BJ17" s="301">
        <v>9.5846645367412137E-2</v>
      </c>
      <c r="BK17" s="309">
        <v>0.90536277602523663</v>
      </c>
      <c r="BL17" s="307">
        <v>1001.2094213926488</v>
      </c>
      <c r="BM17" s="301">
        <v>1.2094213926487629E-3</v>
      </c>
      <c r="BN17" s="302">
        <v>2.4563989191844757</v>
      </c>
      <c r="BO17" s="302">
        <v>2.4563989191844757</v>
      </c>
      <c r="BP17" s="298">
        <v>25.628428723491364</v>
      </c>
      <c r="BQ17" s="298">
        <v>25.955948579382625</v>
      </c>
      <c r="BR17" s="298">
        <v>51.338737410955538</v>
      </c>
      <c r="BS17" s="298">
        <v>57.889134528780808</v>
      </c>
      <c r="BT17" s="298">
        <v>-6.5503971178252698</v>
      </c>
      <c r="BU17" s="294">
        <v>30</v>
      </c>
      <c r="BV17" s="294">
        <v>30</v>
      </c>
      <c r="BW17" s="307">
        <v>283</v>
      </c>
      <c r="BX17" s="307">
        <v>287</v>
      </c>
      <c r="BY17" s="307">
        <v>131</v>
      </c>
      <c r="BZ17" s="307">
        <v>137</v>
      </c>
      <c r="CA17" s="307">
        <v>253</v>
      </c>
      <c r="CB17" s="307">
        <v>183</v>
      </c>
      <c r="CC17" s="294">
        <v>311</v>
      </c>
      <c r="CD17" s="294">
        <v>323</v>
      </c>
      <c r="CE17" s="301">
        <v>0.49053627760252366</v>
      </c>
      <c r="CF17" s="295">
        <v>3.75</v>
      </c>
      <c r="CG17" s="310">
        <v>4.2909199553454584</v>
      </c>
      <c r="CH17" s="302">
        <v>2.3400193187641429</v>
      </c>
      <c r="CI17" s="302">
        <v>2.448857426613638</v>
      </c>
      <c r="CJ17" s="302">
        <v>27.127898381486634</v>
      </c>
      <c r="CK17" s="302">
        <v>29.712803442912143</v>
      </c>
      <c r="CL17" s="302">
        <v>52.541596564343727</v>
      </c>
      <c r="CM17" s="302">
        <v>61.466321408002315</v>
      </c>
      <c r="CN17" s="298">
        <v>2.374327725833318</v>
      </c>
      <c r="CO17" s="307">
        <v>86</v>
      </c>
      <c r="CP17" s="307">
        <v>90</v>
      </c>
      <c r="CQ17" s="307">
        <v>911</v>
      </c>
      <c r="CR17" s="307">
        <v>1002</v>
      </c>
      <c r="CS17" s="307">
        <v>403</v>
      </c>
      <c r="CT17" s="307">
        <v>463</v>
      </c>
      <c r="CU17" s="307">
        <v>704</v>
      </c>
      <c r="CV17" s="307">
        <v>531</v>
      </c>
      <c r="CW17" s="294">
        <v>4</v>
      </c>
      <c r="CX17" s="294">
        <v>11</v>
      </c>
      <c r="CY17" s="307">
        <v>7</v>
      </c>
      <c r="CZ17" s="302">
        <v>0.31508467900748327</v>
      </c>
      <c r="DA17" s="302">
        <v>0.86648286727057888</v>
      </c>
      <c r="DB17" s="302">
        <v>0.55139818826309561</v>
      </c>
      <c r="DC17" s="296">
        <v>25</v>
      </c>
      <c r="DD17" s="296">
        <v>27</v>
      </c>
      <c r="DE17" s="303">
        <v>27.9</v>
      </c>
      <c r="DF17" s="303">
        <v>27.17</v>
      </c>
      <c r="DG17" s="303">
        <v>24.28</v>
      </c>
      <c r="DH17" s="303">
        <v>29.35</v>
      </c>
      <c r="DI17" s="296">
        <v>240</v>
      </c>
      <c r="DJ17" s="296">
        <v>254</v>
      </c>
      <c r="DK17" s="301">
        <v>0.48582995951417002</v>
      </c>
      <c r="DL17" s="307">
        <v>163</v>
      </c>
      <c r="DM17" s="307">
        <v>72</v>
      </c>
      <c r="DN17" s="296">
        <v>25</v>
      </c>
      <c r="DO17" s="296">
        <v>3</v>
      </c>
      <c r="DP17" s="296">
        <v>0.13500000000000001</v>
      </c>
      <c r="DQ17" s="296">
        <v>1</v>
      </c>
      <c r="DR17" s="296">
        <v>1</v>
      </c>
      <c r="DS17" s="296">
        <v>0</v>
      </c>
      <c r="DT17" s="296">
        <v>158</v>
      </c>
      <c r="DU17" s="311">
        <v>77</v>
      </c>
      <c r="DV17" s="296">
        <v>2</v>
      </c>
      <c r="DW17" s="296">
        <v>22</v>
      </c>
      <c r="DX17" s="296">
        <v>-0.127</v>
      </c>
      <c r="DY17" s="296">
        <v>0</v>
      </c>
      <c r="DZ17" s="296">
        <v>1</v>
      </c>
      <c r="EA17" s="296">
        <v>-6.0000000000000001E-3</v>
      </c>
    </row>
    <row r="18" spans="1:131" ht="26.25" x14ac:dyDescent="0.25">
      <c r="A18" s="315" t="s">
        <v>197</v>
      </c>
      <c r="B18" s="315" t="s">
        <v>198</v>
      </c>
      <c r="C18" s="323" t="s">
        <v>199</v>
      </c>
      <c r="D18" s="315" t="s">
        <v>189</v>
      </c>
      <c r="E18" s="315" t="s">
        <v>132</v>
      </c>
      <c r="F18" s="941">
        <f>24/75</f>
        <v>0.32</v>
      </c>
      <c r="G18" s="941" t="s">
        <v>456</v>
      </c>
      <c r="H18" s="941">
        <f>48/43</f>
        <v>1.1162790697674418</v>
      </c>
      <c r="I18" s="315">
        <v>75</v>
      </c>
      <c r="J18" s="315">
        <v>6</v>
      </c>
      <c r="K18" s="315">
        <v>12</v>
      </c>
      <c r="L18" s="324">
        <v>18</v>
      </c>
      <c r="M18" s="318">
        <v>1.2758668215558988</v>
      </c>
      <c r="N18" s="313">
        <v>4</v>
      </c>
      <c r="O18" s="313">
        <v>6</v>
      </c>
      <c r="P18" s="313">
        <v>5</v>
      </c>
      <c r="Q18" s="313">
        <v>42</v>
      </c>
      <c r="R18" s="313">
        <v>21</v>
      </c>
      <c r="S18" s="313">
        <v>32</v>
      </c>
      <c r="T18" s="313">
        <v>66</v>
      </c>
      <c r="U18" s="316">
        <v>0.14285714285714285</v>
      </c>
      <c r="V18" s="316">
        <v>6.3157894736842107E-2</v>
      </c>
      <c r="W18" s="317">
        <v>846.48333333330004</v>
      </c>
      <c r="X18" s="317">
        <v>11.286444444444001</v>
      </c>
      <c r="Y18" s="317">
        <v>841.21</v>
      </c>
      <c r="Z18" s="317">
        <v>11.216133333333334</v>
      </c>
      <c r="AA18" s="317">
        <v>2750.3</v>
      </c>
      <c r="AB18" s="317">
        <v>36.670666666666669</v>
      </c>
      <c r="AC18" s="320">
        <v>0.23422181756420002</v>
      </c>
      <c r="AD18" s="319">
        <v>88.846153846153854</v>
      </c>
      <c r="AE18" s="312">
        <v>9</v>
      </c>
      <c r="AF18" s="313">
        <v>13</v>
      </c>
      <c r="AG18" s="313">
        <v>58</v>
      </c>
      <c r="AH18" s="313">
        <v>25</v>
      </c>
      <c r="AI18" s="313">
        <v>24</v>
      </c>
      <c r="AJ18" s="316">
        <v>0.23076923076923078</v>
      </c>
      <c r="AK18" s="316">
        <v>0.42307692307692307</v>
      </c>
      <c r="AL18" s="316">
        <v>0.65384615384615385</v>
      </c>
      <c r="AM18" s="313">
        <v>256</v>
      </c>
      <c r="AN18" s="320">
        <v>0.35068493150684932</v>
      </c>
      <c r="AO18" s="313">
        <v>233</v>
      </c>
      <c r="AP18" s="320">
        <v>0.31917808219178084</v>
      </c>
      <c r="AQ18" s="313">
        <v>241</v>
      </c>
      <c r="AR18" s="320">
        <v>0.33013698630136984</v>
      </c>
      <c r="AS18" s="320">
        <v>0.52351738241308798</v>
      </c>
      <c r="AT18" s="313">
        <v>13</v>
      </c>
      <c r="AU18" s="314">
        <v>3.02</v>
      </c>
      <c r="AV18" s="325">
        <v>297</v>
      </c>
      <c r="AW18" s="325">
        <v>292</v>
      </c>
      <c r="AX18" s="325">
        <v>219</v>
      </c>
      <c r="AY18" s="320">
        <v>0.50424448217317486</v>
      </c>
      <c r="AZ18" s="321">
        <v>17.05</v>
      </c>
      <c r="BA18" s="326">
        <v>12</v>
      </c>
      <c r="BB18" s="325">
        <v>-0.63600000000000001</v>
      </c>
      <c r="BC18" s="313">
        <v>15</v>
      </c>
      <c r="BD18" s="327">
        <v>-0.36</v>
      </c>
      <c r="BE18" s="317">
        <v>49.73</v>
      </c>
      <c r="BF18" s="321">
        <v>17.260000000000002</v>
      </c>
      <c r="BG18" s="327">
        <v>-2.1030000000000002</v>
      </c>
      <c r="BH18" s="327">
        <v>-3.1739999999999999</v>
      </c>
      <c r="BI18" s="317">
        <v>49.83</v>
      </c>
      <c r="BJ18" s="320">
        <v>6.7532467532467527E-2</v>
      </c>
      <c r="BK18" s="328">
        <v>0.92393736017897088</v>
      </c>
      <c r="BL18" s="326">
        <v>991.46982771143837</v>
      </c>
      <c r="BM18" s="320">
        <v>-8.5301722885615938E-3</v>
      </c>
      <c r="BN18" s="321">
        <v>1.8544715350507006</v>
      </c>
      <c r="BO18" s="321">
        <v>2.4250781612201471</v>
      </c>
      <c r="BP18" s="317">
        <v>27.460443884404604</v>
      </c>
      <c r="BQ18" s="317">
        <v>31.882645237217815</v>
      </c>
      <c r="BR18" s="317">
        <v>50.498686415996005</v>
      </c>
      <c r="BS18" s="317">
        <v>54.778236112266853</v>
      </c>
      <c r="BT18" s="317">
        <v>-4.2795496962708484</v>
      </c>
      <c r="BU18" s="313">
        <v>26</v>
      </c>
      <c r="BV18" s="313">
        <v>34</v>
      </c>
      <c r="BW18" s="326">
        <v>359</v>
      </c>
      <c r="BX18" s="326">
        <v>413</v>
      </c>
      <c r="BY18" s="326">
        <v>150</v>
      </c>
      <c r="BZ18" s="326">
        <v>139</v>
      </c>
      <c r="CA18" s="326">
        <v>182</v>
      </c>
      <c r="CB18" s="326">
        <v>173</v>
      </c>
      <c r="CC18" s="313">
        <v>329</v>
      </c>
      <c r="CD18" s="313">
        <v>382</v>
      </c>
      <c r="CE18" s="320">
        <v>0.46272855133614627</v>
      </c>
      <c r="CF18" s="314">
        <v>-1.79</v>
      </c>
      <c r="CG18" s="329">
        <v>-2.1199668741849607</v>
      </c>
      <c r="CH18" s="321">
        <v>2.7706068428898663</v>
      </c>
      <c r="CI18" s="321">
        <v>2.8360542486274221</v>
      </c>
      <c r="CJ18" s="321">
        <v>30.389412064138455</v>
      </c>
      <c r="CK18" s="321">
        <v>29.342253572337562</v>
      </c>
      <c r="CL18" s="321">
        <v>55.041268225284512</v>
      </c>
      <c r="CM18" s="321">
        <v>56.76471657637348</v>
      </c>
      <c r="CN18" s="317">
        <v>-2.5561013451818795</v>
      </c>
      <c r="CO18" s="326">
        <v>127</v>
      </c>
      <c r="CP18" s="326">
        <v>130</v>
      </c>
      <c r="CQ18" s="326">
        <v>1266</v>
      </c>
      <c r="CR18" s="326">
        <v>1215</v>
      </c>
      <c r="CS18" s="326">
        <v>502</v>
      </c>
      <c r="CT18" s="326">
        <v>535</v>
      </c>
      <c r="CU18" s="326">
        <v>722</v>
      </c>
      <c r="CV18" s="326">
        <v>628</v>
      </c>
      <c r="CW18" s="313">
        <v>7</v>
      </c>
      <c r="CX18" s="313">
        <v>7</v>
      </c>
      <c r="CY18" s="326">
        <v>0</v>
      </c>
      <c r="CZ18" s="321">
        <v>0.49617043060507177</v>
      </c>
      <c r="DA18" s="321">
        <v>0.49617043060507177</v>
      </c>
      <c r="DB18" s="321">
        <v>0</v>
      </c>
      <c r="DC18" s="315">
        <v>28</v>
      </c>
      <c r="DD18" s="315">
        <v>38</v>
      </c>
      <c r="DE18" s="322">
        <v>33.31</v>
      </c>
      <c r="DF18" s="322">
        <v>33.86</v>
      </c>
      <c r="DG18" s="322">
        <v>31.52</v>
      </c>
      <c r="DH18" s="322">
        <v>34.270000000000003</v>
      </c>
      <c r="DI18" s="315">
        <v>193</v>
      </c>
      <c r="DJ18" s="315">
        <v>263</v>
      </c>
      <c r="DK18" s="320">
        <v>0.4232456140350877</v>
      </c>
      <c r="DL18" s="326">
        <v>159</v>
      </c>
      <c r="DM18" s="326">
        <v>59</v>
      </c>
      <c r="DN18" s="315">
        <v>25</v>
      </c>
      <c r="DO18" s="315">
        <v>0</v>
      </c>
      <c r="DP18" s="315">
        <v>0.157</v>
      </c>
      <c r="DQ18" s="315">
        <v>0</v>
      </c>
      <c r="DR18" s="315">
        <v>0</v>
      </c>
      <c r="DS18" s="315">
        <v>0</v>
      </c>
      <c r="DT18" s="315">
        <v>146</v>
      </c>
      <c r="DU18" s="330">
        <v>57</v>
      </c>
      <c r="DV18" s="315">
        <v>1</v>
      </c>
      <c r="DW18" s="315">
        <v>28</v>
      </c>
      <c r="DX18" s="315">
        <v>-0.185</v>
      </c>
      <c r="DY18" s="315">
        <v>0</v>
      </c>
      <c r="DZ18" s="315">
        <v>1</v>
      </c>
      <c r="EA18" s="315">
        <v>-7.0000000000000001E-3</v>
      </c>
    </row>
    <row r="19" spans="1:131" ht="26.25" x14ac:dyDescent="0.25">
      <c r="A19" s="334" t="s">
        <v>200</v>
      </c>
      <c r="B19" s="334" t="s">
        <v>201</v>
      </c>
      <c r="C19" s="342" t="s">
        <v>202</v>
      </c>
      <c r="D19" s="334" t="s">
        <v>203</v>
      </c>
      <c r="E19" s="334" t="s">
        <v>137</v>
      </c>
      <c r="F19" s="941">
        <f>23/80</f>
        <v>0.28749999999999998</v>
      </c>
      <c r="G19" s="941" t="s">
        <v>456</v>
      </c>
      <c r="H19" s="941">
        <f>(33/64)</f>
        <v>0.515625</v>
      </c>
      <c r="I19" s="334">
        <v>80</v>
      </c>
      <c r="J19" s="334">
        <v>10</v>
      </c>
      <c r="K19" s="334">
        <v>9</v>
      </c>
      <c r="L19" s="343">
        <v>19</v>
      </c>
      <c r="M19" s="337">
        <v>1.135194343944008</v>
      </c>
      <c r="N19" s="332">
        <v>10</v>
      </c>
      <c r="O19" s="332">
        <v>7</v>
      </c>
      <c r="P19" s="332">
        <v>1</v>
      </c>
      <c r="Q19" s="332">
        <v>95</v>
      </c>
      <c r="R19" s="332">
        <v>34</v>
      </c>
      <c r="S19" s="332">
        <v>36</v>
      </c>
      <c r="T19" s="332">
        <v>114</v>
      </c>
      <c r="U19" s="335">
        <v>0.10526315789473684</v>
      </c>
      <c r="V19" s="335">
        <v>6.0606060606060608E-2</v>
      </c>
      <c r="W19" s="336">
        <v>1004.2333333333</v>
      </c>
      <c r="X19" s="336">
        <v>12.552916666666251</v>
      </c>
      <c r="Y19" s="336">
        <v>985.12</v>
      </c>
      <c r="Z19" s="336">
        <v>12.314</v>
      </c>
      <c r="AA19" s="336">
        <v>2746.39</v>
      </c>
      <c r="AB19" s="336">
        <v>34.329875000000001</v>
      </c>
      <c r="AC19" s="339">
        <v>0.26400036446371578</v>
      </c>
      <c r="AD19" s="338">
        <v>98.875</v>
      </c>
      <c r="AE19" s="331">
        <v>28</v>
      </c>
      <c r="AF19" s="332">
        <v>251</v>
      </c>
      <c r="AG19" s="332">
        <v>120</v>
      </c>
      <c r="AH19" s="332">
        <v>13</v>
      </c>
      <c r="AI19" s="332">
        <v>22</v>
      </c>
      <c r="AJ19" s="335">
        <v>0.3125</v>
      </c>
      <c r="AK19" s="335">
        <v>0.25</v>
      </c>
      <c r="AL19" s="335">
        <v>0.5625</v>
      </c>
      <c r="AM19" s="332">
        <v>309</v>
      </c>
      <c r="AN19" s="339">
        <v>0.32767762460233296</v>
      </c>
      <c r="AO19" s="332">
        <v>261</v>
      </c>
      <c r="AP19" s="339">
        <v>0.27677624602332979</v>
      </c>
      <c r="AQ19" s="332">
        <v>373</v>
      </c>
      <c r="AR19" s="339">
        <v>0.3955461293743372</v>
      </c>
      <c r="AS19" s="339">
        <v>0.54210526315789476</v>
      </c>
      <c r="AT19" s="332">
        <v>13</v>
      </c>
      <c r="AU19" s="333">
        <v>3.17</v>
      </c>
      <c r="AV19" s="344">
        <v>372</v>
      </c>
      <c r="AW19" s="344">
        <v>374</v>
      </c>
      <c r="AX19" s="344">
        <v>315</v>
      </c>
      <c r="AY19" s="339">
        <v>0.49865951742627346</v>
      </c>
      <c r="AZ19" s="340">
        <v>16.989999999999998</v>
      </c>
      <c r="BA19" s="345">
        <v>11</v>
      </c>
      <c r="BB19" s="344">
        <v>8.7999999999999995E-2</v>
      </c>
      <c r="BC19" s="332">
        <v>9</v>
      </c>
      <c r="BD19" s="346">
        <v>0.38600000000000001</v>
      </c>
      <c r="BE19" s="336">
        <v>50.03</v>
      </c>
      <c r="BF19" s="340">
        <v>17.670000000000002</v>
      </c>
      <c r="BG19" s="346">
        <v>1.7000000000000001E-2</v>
      </c>
      <c r="BH19" s="346">
        <v>3.8639999999999999</v>
      </c>
      <c r="BI19" s="336">
        <v>50.99</v>
      </c>
      <c r="BJ19" s="339">
        <v>7.0796460176991149E-2</v>
      </c>
      <c r="BK19" s="347">
        <v>0.92156862745098034</v>
      </c>
      <c r="BL19" s="345">
        <v>992.36508762797143</v>
      </c>
      <c r="BM19" s="339">
        <v>-7.6349123720285128E-3</v>
      </c>
      <c r="BN19" s="340">
        <v>1.9490011369173301</v>
      </c>
      <c r="BO19" s="340">
        <v>1.9490011369173301</v>
      </c>
      <c r="BP19" s="336">
        <v>27.529641058957285</v>
      </c>
      <c r="BQ19" s="336">
        <v>24.849764495695958</v>
      </c>
      <c r="BR19" s="336">
        <v>55.120188403443237</v>
      </c>
      <c r="BS19" s="336">
        <v>46.166964430729251</v>
      </c>
      <c r="BT19" s="336">
        <v>8.9532239727139853</v>
      </c>
      <c r="BU19" s="332">
        <v>32</v>
      </c>
      <c r="BV19" s="332">
        <v>32</v>
      </c>
      <c r="BW19" s="345">
        <v>420</v>
      </c>
      <c r="BX19" s="345">
        <v>376</v>
      </c>
      <c r="BY19" s="345">
        <v>196</v>
      </c>
      <c r="BZ19" s="345">
        <v>163</v>
      </c>
      <c r="CA19" s="345">
        <v>187</v>
      </c>
      <c r="CB19" s="345">
        <v>257</v>
      </c>
      <c r="CC19" s="332">
        <v>440</v>
      </c>
      <c r="CD19" s="332">
        <v>388</v>
      </c>
      <c r="CE19" s="339">
        <v>0.53140096618357491</v>
      </c>
      <c r="CF19" s="333">
        <v>1.1400000000000001</v>
      </c>
      <c r="CG19" s="348">
        <v>4.3746976569245106</v>
      </c>
      <c r="CH19" s="340">
        <v>2.5342358514267818</v>
      </c>
      <c r="CI19" s="340">
        <v>2.1191454964517056</v>
      </c>
      <c r="CJ19" s="340">
        <v>29.711730671900199</v>
      </c>
      <c r="CK19" s="340">
        <v>27.98582866963541</v>
      </c>
      <c r="CL19" s="340">
        <v>56.58336944133935</v>
      </c>
      <c r="CM19" s="340">
        <v>52.847556246563663</v>
      </c>
      <c r="CN19" s="336">
        <v>5.2174107779382979</v>
      </c>
      <c r="CO19" s="345">
        <v>116</v>
      </c>
      <c r="CP19" s="345">
        <v>97</v>
      </c>
      <c r="CQ19" s="345">
        <v>1244</v>
      </c>
      <c r="CR19" s="345">
        <v>1184</v>
      </c>
      <c r="CS19" s="345">
        <v>532</v>
      </c>
      <c r="CT19" s="345">
        <v>509</v>
      </c>
      <c r="CU19" s="345">
        <v>629</v>
      </c>
      <c r="CV19" s="345">
        <v>698</v>
      </c>
      <c r="CW19" s="332">
        <v>9</v>
      </c>
      <c r="CX19" s="332">
        <v>9</v>
      </c>
      <c r="CY19" s="345">
        <v>0</v>
      </c>
      <c r="CZ19" s="340">
        <v>0.53772363660505651</v>
      </c>
      <c r="DA19" s="340">
        <v>0.53772363660505651</v>
      </c>
      <c r="DB19" s="340">
        <v>0</v>
      </c>
      <c r="DC19" s="334">
        <v>38</v>
      </c>
      <c r="DD19" s="334">
        <v>32</v>
      </c>
      <c r="DE19" s="341">
        <v>36.79</v>
      </c>
      <c r="DF19" s="341">
        <v>32.369999999999997</v>
      </c>
      <c r="DG19" s="341">
        <v>38.26</v>
      </c>
      <c r="DH19" s="341">
        <v>36.950000000000003</v>
      </c>
      <c r="DI19" s="334">
        <v>369</v>
      </c>
      <c r="DJ19" s="334">
        <v>417</v>
      </c>
      <c r="DK19" s="339">
        <v>0.46946564885496184</v>
      </c>
      <c r="DL19" s="345">
        <v>235</v>
      </c>
      <c r="DM19" s="345">
        <v>117</v>
      </c>
      <c r="DN19" s="334">
        <v>26</v>
      </c>
      <c r="DO19" s="334">
        <v>3</v>
      </c>
      <c r="DP19" s="334">
        <v>9.8000000000000004E-2</v>
      </c>
      <c r="DQ19" s="334">
        <v>1</v>
      </c>
      <c r="DR19" s="334">
        <v>1</v>
      </c>
      <c r="DS19" s="334">
        <v>0</v>
      </c>
      <c r="DT19" s="334">
        <v>225</v>
      </c>
      <c r="DU19" s="349">
        <v>99</v>
      </c>
      <c r="DV19" s="334">
        <v>5</v>
      </c>
      <c r="DW19" s="334">
        <v>48</v>
      </c>
      <c r="DX19" s="334">
        <v>-0.191</v>
      </c>
      <c r="DY19" s="334">
        <v>0</v>
      </c>
      <c r="DZ19" s="334">
        <v>2</v>
      </c>
      <c r="EA19" s="334">
        <v>-9.0000000000000011E-3</v>
      </c>
    </row>
    <row r="20" spans="1:131" ht="26.25" x14ac:dyDescent="0.25">
      <c r="A20" s="353" t="s">
        <v>204</v>
      </c>
      <c r="B20" s="353" t="s">
        <v>205</v>
      </c>
      <c r="C20" s="361" t="s">
        <v>206</v>
      </c>
      <c r="D20" s="351" t="s">
        <v>181</v>
      </c>
      <c r="E20" s="353" t="s">
        <v>137</v>
      </c>
      <c r="F20" s="941">
        <f>23/69</f>
        <v>0.33333333333333331</v>
      </c>
      <c r="G20" s="941" t="s">
        <v>460</v>
      </c>
      <c r="H20" s="941">
        <f>28/47</f>
        <v>0.5957446808510638</v>
      </c>
      <c r="I20" s="353">
        <v>69</v>
      </c>
      <c r="J20" s="353">
        <v>7</v>
      </c>
      <c r="K20" s="353">
        <v>13</v>
      </c>
      <c r="L20" s="362">
        <v>20</v>
      </c>
      <c r="M20" s="356">
        <v>1.3732595842075672</v>
      </c>
      <c r="N20" s="351">
        <v>7</v>
      </c>
      <c r="O20" s="351">
        <v>3</v>
      </c>
      <c r="P20" s="351">
        <v>10</v>
      </c>
      <c r="Q20" s="351">
        <v>80</v>
      </c>
      <c r="R20" s="351">
        <v>40</v>
      </c>
      <c r="S20" s="351">
        <v>31</v>
      </c>
      <c r="T20" s="351">
        <v>87</v>
      </c>
      <c r="U20" s="354">
        <v>8.7499999999999994E-2</v>
      </c>
      <c r="V20" s="354">
        <v>4.6357615894039736E-2</v>
      </c>
      <c r="W20" s="355">
        <v>873.83333333329995</v>
      </c>
      <c r="X20" s="355">
        <v>12.664251207728984</v>
      </c>
      <c r="Y20" s="355">
        <v>848.92</v>
      </c>
      <c r="Z20" s="355">
        <v>12.303188405797101</v>
      </c>
      <c r="AA20" s="355">
        <v>2508.6799999999998</v>
      </c>
      <c r="AB20" s="355">
        <v>36.357681159420288</v>
      </c>
      <c r="AC20" s="358">
        <v>0.25283535858946865</v>
      </c>
      <c r="AD20" s="357">
        <v>39.206896551724142</v>
      </c>
      <c r="AE20" s="350">
        <v>27</v>
      </c>
      <c r="AF20" s="351">
        <v>71</v>
      </c>
      <c r="AG20" s="351">
        <v>110</v>
      </c>
      <c r="AH20" s="351">
        <v>27</v>
      </c>
      <c r="AI20" s="351">
        <v>25</v>
      </c>
      <c r="AJ20" s="354">
        <v>0.2413793103448276</v>
      </c>
      <c r="AK20" s="354">
        <v>0.44827586206896552</v>
      </c>
      <c r="AL20" s="354">
        <v>0.68965517241379315</v>
      </c>
      <c r="AM20" s="351">
        <v>216</v>
      </c>
      <c r="AN20" s="358">
        <v>0.28647214854111408</v>
      </c>
      <c r="AO20" s="351">
        <v>249</v>
      </c>
      <c r="AP20" s="358">
        <v>0.33023872679045091</v>
      </c>
      <c r="AQ20" s="351">
        <v>289</v>
      </c>
      <c r="AR20" s="358">
        <v>0.38328912466843501</v>
      </c>
      <c r="AS20" s="358">
        <v>0.46451612903225808</v>
      </c>
      <c r="AT20" s="351">
        <v>3</v>
      </c>
      <c r="AU20" s="352">
        <v>-2.27</v>
      </c>
      <c r="AV20" s="363">
        <v>315</v>
      </c>
      <c r="AW20" s="363">
        <v>344</v>
      </c>
      <c r="AX20" s="363">
        <v>248</v>
      </c>
      <c r="AY20" s="358">
        <v>0.47799696509863432</v>
      </c>
      <c r="AZ20" s="359">
        <v>17.12</v>
      </c>
      <c r="BA20" s="364">
        <v>10</v>
      </c>
      <c r="BB20" s="363">
        <v>4.0000000000000001E-3</v>
      </c>
      <c r="BC20" s="351">
        <v>10</v>
      </c>
      <c r="BD20" s="365">
        <v>-0.65200000000000002</v>
      </c>
      <c r="BE20" s="355">
        <v>49.66</v>
      </c>
      <c r="BF20" s="359">
        <v>17.72</v>
      </c>
      <c r="BG20" s="365">
        <v>-1.0920000000000001</v>
      </c>
      <c r="BH20" s="365">
        <v>-2.629</v>
      </c>
      <c r="BI20" s="355">
        <v>48.91</v>
      </c>
      <c r="BJ20" s="358">
        <v>7.6517150395778361E-2</v>
      </c>
      <c r="BK20" s="366">
        <v>0.92838874680306904</v>
      </c>
      <c r="BL20" s="364">
        <v>1004.9058971988474</v>
      </c>
      <c r="BM20" s="358">
        <v>4.9058971988474032E-3</v>
      </c>
      <c r="BN20" s="359">
        <v>2.0496631013523063</v>
      </c>
      <c r="BO20" s="359">
        <v>1.9789850633746406</v>
      </c>
      <c r="BP20" s="355">
        <v>26.786976393535319</v>
      </c>
      <c r="BQ20" s="355">
        <v>27.635112849267305</v>
      </c>
      <c r="BR20" s="355">
        <v>51.948357913584324</v>
      </c>
      <c r="BS20" s="355">
        <v>52.301748103472654</v>
      </c>
      <c r="BT20" s="355">
        <v>-0.35339018988833004</v>
      </c>
      <c r="BU20" s="351">
        <v>29</v>
      </c>
      <c r="BV20" s="351">
        <v>28</v>
      </c>
      <c r="BW20" s="364">
        <v>350</v>
      </c>
      <c r="BX20" s="364">
        <v>363</v>
      </c>
      <c r="BY20" s="364">
        <v>162</v>
      </c>
      <c r="BZ20" s="364">
        <v>144</v>
      </c>
      <c r="CA20" s="364">
        <v>205</v>
      </c>
      <c r="CB20" s="364">
        <v>194</v>
      </c>
      <c r="CC20" s="351">
        <v>323</v>
      </c>
      <c r="CD20" s="351">
        <v>348</v>
      </c>
      <c r="CE20" s="358">
        <v>0.481371087928465</v>
      </c>
      <c r="CF20" s="352">
        <v>-2.2800000000000002</v>
      </c>
      <c r="CG20" s="367">
        <v>2.3852227133374768</v>
      </c>
      <c r="CH20" s="359">
        <v>2.7026165154583288</v>
      </c>
      <c r="CI20" s="359">
        <v>2.0807755472997753</v>
      </c>
      <c r="CJ20" s="359">
        <v>30.015785193807105</v>
      </c>
      <c r="CK20" s="359">
        <v>29.704864709727829</v>
      </c>
      <c r="CL20" s="359">
        <v>58.237798364079921</v>
      </c>
      <c r="CM20" s="359">
        <v>57.424621713411042</v>
      </c>
      <c r="CN20" s="355">
        <v>-1.1665668405572092</v>
      </c>
      <c r="CO20" s="364">
        <v>113</v>
      </c>
      <c r="CP20" s="364">
        <v>87</v>
      </c>
      <c r="CQ20" s="364">
        <v>1142</v>
      </c>
      <c r="CR20" s="364">
        <v>1155</v>
      </c>
      <c r="CS20" s="364">
        <v>526</v>
      </c>
      <c r="CT20" s="364">
        <v>480</v>
      </c>
      <c r="CU20" s="364">
        <v>679</v>
      </c>
      <c r="CV20" s="364">
        <v>654</v>
      </c>
      <c r="CW20" s="351">
        <v>6</v>
      </c>
      <c r="CX20" s="351">
        <v>9</v>
      </c>
      <c r="CY20" s="364">
        <v>3</v>
      </c>
      <c r="CZ20" s="359">
        <v>0.4119778752622702</v>
      </c>
      <c r="DA20" s="359">
        <v>0.61796681289340527</v>
      </c>
      <c r="DB20" s="359">
        <v>0.2059889376311351</v>
      </c>
      <c r="DC20" s="353">
        <v>29</v>
      </c>
      <c r="DD20" s="353">
        <v>30</v>
      </c>
      <c r="DE20" s="360">
        <v>30.05</v>
      </c>
      <c r="DF20" s="360">
        <v>29.13</v>
      </c>
      <c r="DG20" s="360">
        <v>30.99</v>
      </c>
      <c r="DH20" s="360">
        <v>32.950000000000003</v>
      </c>
      <c r="DI20" s="353">
        <v>0</v>
      </c>
      <c r="DJ20" s="353">
        <v>2</v>
      </c>
      <c r="DK20" s="358">
        <v>0</v>
      </c>
      <c r="DL20" s="364">
        <v>1</v>
      </c>
      <c r="DM20" s="364">
        <v>0</v>
      </c>
      <c r="DN20" s="353">
        <v>0</v>
      </c>
      <c r="DO20" s="353">
        <v>0</v>
      </c>
      <c r="DP20" s="353">
        <v>0</v>
      </c>
      <c r="DQ20" s="353">
        <v>0</v>
      </c>
      <c r="DR20" s="353">
        <v>0</v>
      </c>
      <c r="DS20" s="353">
        <v>0</v>
      </c>
      <c r="DT20" s="353">
        <v>1</v>
      </c>
      <c r="DU20" s="368">
        <v>0</v>
      </c>
      <c r="DV20" s="353">
        <v>0</v>
      </c>
      <c r="DW20" s="353">
        <v>0</v>
      </c>
      <c r="DX20" s="353">
        <v>0</v>
      </c>
      <c r="DY20" s="353">
        <v>0</v>
      </c>
      <c r="DZ20" s="353">
        <v>0</v>
      </c>
      <c r="EA20" s="353">
        <v>0</v>
      </c>
    </row>
    <row r="21" spans="1:131" ht="39" x14ac:dyDescent="0.25">
      <c r="A21" s="372" t="s">
        <v>207</v>
      </c>
      <c r="B21" s="372" t="s">
        <v>208</v>
      </c>
      <c r="C21" s="380" t="s">
        <v>209</v>
      </c>
      <c r="D21" s="370" t="s">
        <v>169</v>
      </c>
      <c r="E21" s="372" t="s">
        <v>137</v>
      </c>
      <c r="F21" s="941">
        <f>22/53</f>
        <v>0.41509433962264153</v>
      </c>
      <c r="G21" s="941" t="s">
        <v>459</v>
      </c>
      <c r="H21" s="941">
        <f>87/57</f>
        <v>1.5263157894736843</v>
      </c>
      <c r="I21" s="372">
        <v>53</v>
      </c>
      <c r="J21" s="372">
        <v>7</v>
      </c>
      <c r="K21" s="372">
        <v>12</v>
      </c>
      <c r="L21" s="381">
        <v>19</v>
      </c>
      <c r="M21" s="375">
        <v>1.8295618680789598</v>
      </c>
      <c r="N21" s="370">
        <v>7</v>
      </c>
      <c r="O21" s="370">
        <v>4</v>
      </c>
      <c r="P21" s="370">
        <v>6</v>
      </c>
      <c r="Q21" s="370">
        <v>59</v>
      </c>
      <c r="R21" s="370">
        <v>33</v>
      </c>
      <c r="S21" s="370">
        <v>36</v>
      </c>
      <c r="T21" s="370">
        <v>85</v>
      </c>
      <c r="U21" s="373">
        <v>0.11864406779661017</v>
      </c>
      <c r="V21" s="373">
        <v>5.46875E-2</v>
      </c>
      <c r="W21" s="374">
        <v>623.1</v>
      </c>
      <c r="X21" s="374">
        <v>11.756603773584906</v>
      </c>
      <c r="Y21" s="374">
        <v>605.59</v>
      </c>
      <c r="Z21" s="374">
        <v>11.426226415094341</v>
      </c>
      <c r="AA21" s="374">
        <v>1930.77</v>
      </c>
      <c r="AB21" s="374">
        <v>36.429622641509432</v>
      </c>
      <c r="AC21" s="377">
        <v>0.23876342475042978</v>
      </c>
      <c r="AD21" s="376">
        <v>39.636363636363633</v>
      </c>
      <c r="AE21" s="369">
        <v>18</v>
      </c>
      <c r="AF21" s="370">
        <v>22</v>
      </c>
      <c r="AG21" s="370">
        <v>77</v>
      </c>
      <c r="AH21" s="370">
        <v>16</v>
      </c>
      <c r="AI21" s="370">
        <v>14</v>
      </c>
      <c r="AJ21" s="373">
        <v>0.21212121212121213</v>
      </c>
      <c r="AK21" s="373">
        <v>0.30303030303030304</v>
      </c>
      <c r="AL21" s="373">
        <v>0.51515151515151514</v>
      </c>
      <c r="AM21" s="370">
        <v>209</v>
      </c>
      <c r="AN21" s="377">
        <v>0.40425531914893614</v>
      </c>
      <c r="AO21" s="370">
        <v>118</v>
      </c>
      <c r="AP21" s="377">
        <v>0.22823984526112184</v>
      </c>
      <c r="AQ21" s="370">
        <v>190</v>
      </c>
      <c r="AR21" s="377">
        <v>0.36750483558994196</v>
      </c>
      <c r="AS21" s="377">
        <v>0.63914373088685017</v>
      </c>
      <c r="AT21" s="370">
        <v>14</v>
      </c>
      <c r="AU21" s="371">
        <v>13.33</v>
      </c>
      <c r="AV21" s="382">
        <v>230</v>
      </c>
      <c r="AW21" s="382">
        <v>202</v>
      </c>
      <c r="AX21" s="382">
        <v>183</v>
      </c>
      <c r="AY21" s="377">
        <v>0.53240740740740744</v>
      </c>
      <c r="AZ21" s="378">
        <v>17.22</v>
      </c>
      <c r="BA21" s="383">
        <v>8</v>
      </c>
      <c r="BB21" s="382">
        <v>-0.53400000000000003</v>
      </c>
      <c r="BC21" s="370">
        <v>12</v>
      </c>
      <c r="BD21" s="384">
        <v>-0.53800000000000003</v>
      </c>
      <c r="BE21" s="374">
        <v>49.83</v>
      </c>
      <c r="BF21" s="378">
        <v>18.11</v>
      </c>
      <c r="BG21" s="384">
        <v>1.778</v>
      </c>
      <c r="BH21" s="384">
        <v>3.919</v>
      </c>
      <c r="BI21" s="374">
        <v>49.75</v>
      </c>
      <c r="BJ21" s="377">
        <v>0.10091743119266056</v>
      </c>
      <c r="BK21" s="385">
        <v>0.9213483146067416</v>
      </c>
      <c r="BL21" s="383">
        <v>1022.2657457994021</v>
      </c>
      <c r="BM21" s="377">
        <v>2.2265745799402159E-2</v>
      </c>
      <c r="BN21" s="378">
        <v>3.2695387968757736</v>
      </c>
      <c r="BO21" s="378">
        <v>2.0806155980118559</v>
      </c>
      <c r="BP21" s="374">
        <v>32.39815716904176</v>
      </c>
      <c r="BQ21" s="374">
        <v>26.453541174722169</v>
      </c>
      <c r="BR21" s="374">
        <v>63.508314205980938</v>
      </c>
      <c r="BS21" s="374">
        <v>52.808005416205681</v>
      </c>
      <c r="BT21" s="374">
        <v>10.700308789775256</v>
      </c>
      <c r="BU21" s="370">
        <v>33</v>
      </c>
      <c r="BV21" s="370">
        <v>21</v>
      </c>
      <c r="BW21" s="383">
        <v>294</v>
      </c>
      <c r="BX21" s="383">
        <v>246</v>
      </c>
      <c r="BY21" s="383">
        <v>145</v>
      </c>
      <c r="BZ21" s="383">
        <v>99</v>
      </c>
      <c r="CA21" s="383">
        <v>167</v>
      </c>
      <c r="CB21" s="383">
        <v>169</v>
      </c>
      <c r="CC21" s="370">
        <v>301</v>
      </c>
      <c r="CD21" s="370">
        <v>263</v>
      </c>
      <c r="CE21" s="377">
        <v>0.53368794326241131</v>
      </c>
      <c r="CF21" s="371">
        <v>1.91</v>
      </c>
      <c r="CG21" s="386">
        <v>2.8138592484908518</v>
      </c>
      <c r="CH21" s="378">
        <v>2.1752979381283115</v>
      </c>
      <c r="CI21" s="378">
        <v>2.2996006774499294</v>
      </c>
      <c r="CJ21" s="378">
        <v>27.501981074907938</v>
      </c>
      <c r="CK21" s="378">
        <v>28.527478674311283</v>
      </c>
      <c r="CL21" s="378">
        <v>55.066113519476687</v>
      </c>
      <c r="CM21" s="378">
        <v>55.905157009897607</v>
      </c>
      <c r="CN21" s="374">
        <v>11.539352280196177</v>
      </c>
      <c r="CO21" s="383">
        <v>70</v>
      </c>
      <c r="CP21" s="383">
        <v>74</v>
      </c>
      <c r="CQ21" s="383">
        <v>815</v>
      </c>
      <c r="CR21" s="383">
        <v>844</v>
      </c>
      <c r="CS21" s="383">
        <v>384</v>
      </c>
      <c r="CT21" s="383">
        <v>364</v>
      </c>
      <c r="CU21" s="383">
        <v>517</v>
      </c>
      <c r="CV21" s="383">
        <v>503</v>
      </c>
      <c r="CW21" s="370">
        <v>4</v>
      </c>
      <c r="CX21" s="370">
        <v>7</v>
      </c>
      <c r="CY21" s="383">
        <v>3</v>
      </c>
      <c r="CZ21" s="378">
        <v>0.38517091959557054</v>
      </c>
      <c r="DA21" s="378">
        <v>0.67404910929224837</v>
      </c>
      <c r="DB21" s="378">
        <v>0.28887818969667789</v>
      </c>
      <c r="DC21" s="372">
        <v>24</v>
      </c>
      <c r="DD21" s="372">
        <v>20</v>
      </c>
      <c r="DE21" s="379">
        <v>23.16</v>
      </c>
      <c r="DF21" s="379">
        <v>21.25</v>
      </c>
      <c r="DG21" s="379">
        <v>22.26</v>
      </c>
      <c r="DH21" s="379">
        <v>22.16</v>
      </c>
      <c r="DI21" s="372">
        <v>73</v>
      </c>
      <c r="DJ21" s="372">
        <v>92</v>
      </c>
      <c r="DK21" s="377">
        <v>0.44242424242424244</v>
      </c>
      <c r="DL21" s="383">
        <v>59</v>
      </c>
      <c r="DM21" s="383">
        <v>29</v>
      </c>
      <c r="DN21" s="372">
        <v>8</v>
      </c>
      <c r="DO21" s="372">
        <v>0</v>
      </c>
      <c r="DP21" s="372">
        <v>0.13600000000000001</v>
      </c>
      <c r="DQ21" s="372">
        <v>0</v>
      </c>
      <c r="DR21" s="372">
        <v>0</v>
      </c>
      <c r="DS21" s="372">
        <v>0</v>
      </c>
      <c r="DT21" s="372">
        <v>18</v>
      </c>
      <c r="DU21" s="387">
        <v>6</v>
      </c>
      <c r="DV21" s="372">
        <v>0</v>
      </c>
      <c r="DW21" s="372">
        <v>3</v>
      </c>
      <c r="DX21" s="372">
        <v>-0.16700000000000001</v>
      </c>
      <c r="DY21" s="372">
        <v>0</v>
      </c>
      <c r="DZ21" s="372">
        <v>0</v>
      </c>
      <c r="EA21" s="372">
        <v>0</v>
      </c>
    </row>
    <row r="22" spans="1:131" ht="39" x14ac:dyDescent="0.25">
      <c r="A22" s="391" t="s">
        <v>210</v>
      </c>
      <c r="B22" s="391" t="s">
        <v>211</v>
      </c>
      <c r="C22" s="399" t="s">
        <v>212</v>
      </c>
      <c r="D22" s="389" t="s">
        <v>165</v>
      </c>
      <c r="E22" s="391" t="s">
        <v>155</v>
      </c>
      <c r="F22" s="941">
        <f>22/50</f>
        <v>0.44</v>
      </c>
      <c r="G22" s="941" t="s">
        <v>456</v>
      </c>
      <c r="H22" s="941">
        <f>42/55</f>
        <v>0.76363636363636367</v>
      </c>
      <c r="I22" s="391">
        <v>50</v>
      </c>
      <c r="J22" s="391">
        <v>6</v>
      </c>
      <c r="K22" s="391">
        <v>15</v>
      </c>
      <c r="L22" s="400">
        <v>21</v>
      </c>
      <c r="M22" s="394">
        <v>1.9385609518435849</v>
      </c>
      <c r="N22" s="389">
        <v>6</v>
      </c>
      <c r="O22" s="389">
        <v>12</v>
      </c>
      <c r="P22" s="389">
        <v>3</v>
      </c>
      <c r="Q22" s="389">
        <v>79</v>
      </c>
      <c r="R22" s="389">
        <v>27</v>
      </c>
      <c r="S22" s="389">
        <v>24</v>
      </c>
      <c r="T22" s="389">
        <v>65</v>
      </c>
      <c r="U22" s="392">
        <v>7.5949367088607597E-2</v>
      </c>
      <c r="V22" s="392">
        <v>4.6153846153846156E-2</v>
      </c>
      <c r="W22" s="393">
        <v>649.96666666670001</v>
      </c>
      <c r="X22" s="393">
        <v>12.999333333334</v>
      </c>
      <c r="Y22" s="393">
        <v>628.53</v>
      </c>
      <c r="Z22" s="393">
        <v>12.570599999999999</v>
      </c>
      <c r="AA22" s="393">
        <v>1793.3</v>
      </c>
      <c r="AB22" s="393">
        <v>35.866</v>
      </c>
      <c r="AC22" s="396">
        <v>0.25952688669312046</v>
      </c>
      <c r="AD22" s="395">
        <v>130.45161290322582</v>
      </c>
      <c r="AE22" s="388">
        <v>19</v>
      </c>
      <c r="AF22" s="389">
        <v>93</v>
      </c>
      <c r="AG22" s="389">
        <v>75</v>
      </c>
      <c r="AH22" s="389">
        <v>8</v>
      </c>
      <c r="AI22" s="389">
        <v>19</v>
      </c>
      <c r="AJ22" s="392">
        <v>0.19354838709677419</v>
      </c>
      <c r="AK22" s="392">
        <v>0.4838709677419355</v>
      </c>
      <c r="AL22" s="392">
        <v>0.67741935483870974</v>
      </c>
      <c r="AM22" s="389">
        <v>198</v>
      </c>
      <c r="AN22" s="396">
        <v>0.36598890942698709</v>
      </c>
      <c r="AO22" s="389">
        <v>159</v>
      </c>
      <c r="AP22" s="396">
        <v>0.29390018484288355</v>
      </c>
      <c r="AQ22" s="389">
        <v>184</v>
      </c>
      <c r="AR22" s="396">
        <v>0.34011090573012936</v>
      </c>
      <c r="AS22" s="396">
        <v>0.55462184873949583</v>
      </c>
      <c r="AT22" s="389">
        <v>12</v>
      </c>
      <c r="AU22" s="390">
        <v>5.97</v>
      </c>
      <c r="AV22" s="401">
        <v>228</v>
      </c>
      <c r="AW22" s="401">
        <v>219</v>
      </c>
      <c r="AX22" s="401">
        <v>207</v>
      </c>
      <c r="AY22" s="396">
        <v>0.51006711409395977</v>
      </c>
      <c r="AZ22" s="397">
        <v>16.97</v>
      </c>
      <c r="BA22" s="402">
        <v>11</v>
      </c>
      <c r="BB22" s="401">
        <v>0.27200000000000002</v>
      </c>
      <c r="BC22" s="389">
        <v>9</v>
      </c>
      <c r="BD22" s="403">
        <v>-0.82900000000000007</v>
      </c>
      <c r="BE22" s="393">
        <v>49.31</v>
      </c>
      <c r="BF22" s="397">
        <v>17.59</v>
      </c>
      <c r="BG22" s="403">
        <v>0.65200000000000002</v>
      </c>
      <c r="BH22" s="403">
        <v>2.7640000000000002</v>
      </c>
      <c r="BI22" s="393">
        <v>51.36</v>
      </c>
      <c r="BJ22" s="396">
        <v>9.1988130563798218E-2</v>
      </c>
      <c r="BK22" s="404">
        <v>0.92333333333333334</v>
      </c>
      <c r="BL22" s="402">
        <v>1015.3214638971316</v>
      </c>
      <c r="BM22" s="396">
        <v>1.5321463897131557E-2</v>
      </c>
      <c r="BN22" s="397">
        <v>2.9592859529378073</v>
      </c>
      <c r="BO22" s="397">
        <v>2.1955992554054702</v>
      </c>
      <c r="BP22" s="393">
        <v>32.170302133549711</v>
      </c>
      <c r="BQ22" s="393">
        <v>28.638251157462651</v>
      </c>
      <c r="BR22" s="393">
        <v>57.753806500883016</v>
      </c>
      <c r="BS22" s="393">
        <v>50.403322037134274</v>
      </c>
      <c r="BT22" s="393">
        <v>7.3504844637487423</v>
      </c>
      <c r="BU22" s="389">
        <v>31</v>
      </c>
      <c r="BV22" s="389">
        <v>23</v>
      </c>
      <c r="BW22" s="402">
        <v>306</v>
      </c>
      <c r="BX22" s="402">
        <v>277</v>
      </c>
      <c r="BY22" s="402">
        <v>128</v>
      </c>
      <c r="BZ22" s="402">
        <v>106</v>
      </c>
      <c r="CA22" s="402">
        <v>122</v>
      </c>
      <c r="CB22" s="402">
        <v>140</v>
      </c>
      <c r="CC22" s="389">
        <v>258</v>
      </c>
      <c r="CD22" s="389">
        <v>219</v>
      </c>
      <c r="CE22" s="396">
        <v>0.54088050314465408</v>
      </c>
      <c r="CF22" s="390">
        <v>3.65</v>
      </c>
      <c r="CG22" s="405">
        <v>2.3565600940008427</v>
      </c>
      <c r="CH22" s="397">
        <v>2.4758824513466795</v>
      </c>
      <c r="CI22" s="397">
        <v>2.6766296771315452</v>
      </c>
      <c r="CJ22" s="397">
        <v>30.747783416048623</v>
      </c>
      <c r="CK22" s="397">
        <v>27.803490771203929</v>
      </c>
      <c r="CL22" s="397">
        <v>54.33558244577037</v>
      </c>
      <c r="CM22" s="397">
        <v>51.993531478280268</v>
      </c>
      <c r="CN22" s="393">
        <v>5.0084334962586397</v>
      </c>
      <c r="CO22" s="402">
        <v>74</v>
      </c>
      <c r="CP22" s="402">
        <v>80</v>
      </c>
      <c r="CQ22" s="402">
        <v>845</v>
      </c>
      <c r="CR22" s="402">
        <v>751</v>
      </c>
      <c r="CS22" s="402">
        <v>310</v>
      </c>
      <c r="CT22" s="402">
        <v>334</v>
      </c>
      <c r="CU22" s="402">
        <v>389</v>
      </c>
      <c r="CV22" s="402">
        <v>395</v>
      </c>
      <c r="CW22" s="389">
        <v>6</v>
      </c>
      <c r="CX22" s="389">
        <v>8</v>
      </c>
      <c r="CY22" s="402">
        <v>2</v>
      </c>
      <c r="CZ22" s="397">
        <v>0.5538745576695957</v>
      </c>
      <c r="DA22" s="397">
        <v>0.73849941022612764</v>
      </c>
      <c r="DB22" s="397">
        <v>0.18462485255653191</v>
      </c>
      <c r="DC22" s="391">
        <v>26</v>
      </c>
      <c r="DD22" s="391">
        <v>20</v>
      </c>
      <c r="DE22" s="398">
        <v>21</v>
      </c>
      <c r="DF22" s="398">
        <v>22.04</v>
      </c>
      <c r="DG22" s="398">
        <v>22.14</v>
      </c>
      <c r="DH22" s="398">
        <v>22.14</v>
      </c>
      <c r="DI22" s="391">
        <v>217</v>
      </c>
      <c r="DJ22" s="391">
        <v>233</v>
      </c>
      <c r="DK22" s="396">
        <v>0.48222222222222222</v>
      </c>
      <c r="DL22" s="402">
        <v>161</v>
      </c>
      <c r="DM22" s="402">
        <v>76</v>
      </c>
      <c r="DN22" s="391">
        <v>38</v>
      </c>
      <c r="DO22" s="391">
        <v>1</v>
      </c>
      <c r="DP22" s="391">
        <v>0.23</v>
      </c>
      <c r="DQ22" s="391">
        <v>2</v>
      </c>
      <c r="DR22" s="391">
        <v>0</v>
      </c>
      <c r="DS22" s="391">
        <v>1.2E-2</v>
      </c>
      <c r="DT22" s="391">
        <v>134</v>
      </c>
      <c r="DU22" s="406">
        <v>68</v>
      </c>
      <c r="DV22" s="391">
        <v>0</v>
      </c>
      <c r="DW22" s="391">
        <v>23</v>
      </c>
      <c r="DX22" s="391">
        <v>-0.17200000000000001</v>
      </c>
      <c r="DY22" s="391">
        <v>0</v>
      </c>
      <c r="DZ22" s="391">
        <v>0</v>
      </c>
      <c r="EA22" s="391">
        <v>0</v>
      </c>
    </row>
    <row r="23" spans="1:131" ht="26.25" x14ac:dyDescent="0.25">
      <c r="A23" s="410" t="s">
        <v>213</v>
      </c>
      <c r="B23" s="410" t="s">
        <v>214</v>
      </c>
      <c r="C23" s="418" t="s">
        <v>215</v>
      </c>
      <c r="D23" s="408" t="s">
        <v>216</v>
      </c>
      <c r="E23" s="410" t="s">
        <v>217</v>
      </c>
      <c r="F23" s="941">
        <f>21/72</f>
        <v>0.29166666666666669</v>
      </c>
      <c r="G23" s="941" t="s">
        <v>456</v>
      </c>
      <c r="H23" s="941">
        <f>48/64</f>
        <v>0.75</v>
      </c>
      <c r="I23" s="410">
        <v>72</v>
      </c>
      <c r="J23" s="410">
        <v>10</v>
      </c>
      <c r="K23" s="410">
        <v>6</v>
      </c>
      <c r="L23" s="419">
        <v>16</v>
      </c>
      <c r="M23" s="413">
        <v>0.93774420421987936</v>
      </c>
      <c r="N23" s="408">
        <v>8</v>
      </c>
      <c r="O23" s="408">
        <v>2</v>
      </c>
      <c r="P23" s="408">
        <v>4</v>
      </c>
      <c r="Q23" s="408">
        <v>164</v>
      </c>
      <c r="R23" s="408">
        <v>57</v>
      </c>
      <c r="S23" s="408">
        <v>53</v>
      </c>
      <c r="T23" s="408">
        <v>151</v>
      </c>
      <c r="U23" s="411">
        <v>6.097560975609756E-2</v>
      </c>
      <c r="V23" s="411">
        <v>3.6496350364963501E-2</v>
      </c>
      <c r="W23" s="412">
        <v>1023.7333333333</v>
      </c>
      <c r="X23" s="412">
        <v>14.218518518518056</v>
      </c>
      <c r="Y23" s="412">
        <v>979.67</v>
      </c>
      <c r="Z23" s="412">
        <v>13.606527777777778</v>
      </c>
      <c r="AA23" s="412">
        <v>2503.0700000000002</v>
      </c>
      <c r="AB23" s="412">
        <v>34.764861111111117</v>
      </c>
      <c r="AC23" s="415">
        <v>0.28129289008079844</v>
      </c>
      <c r="AD23" s="414">
        <v>35.777777777777779</v>
      </c>
      <c r="AE23" s="407">
        <v>28</v>
      </c>
      <c r="AF23" s="408">
        <v>110</v>
      </c>
      <c r="AG23" s="408">
        <v>124</v>
      </c>
      <c r="AH23" s="408">
        <v>8</v>
      </c>
      <c r="AI23" s="408">
        <v>31</v>
      </c>
      <c r="AJ23" s="411">
        <v>0.37037037037037035</v>
      </c>
      <c r="AK23" s="411">
        <v>0.22222222222222221</v>
      </c>
      <c r="AL23" s="411">
        <v>0.59259259259259256</v>
      </c>
      <c r="AM23" s="408">
        <v>327</v>
      </c>
      <c r="AN23" s="415">
        <v>0.32996972754793136</v>
      </c>
      <c r="AO23" s="408">
        <v>285</v>
      </c>
      <c r="AP23" s="415">
        <v>0.2875882946518668</v>
      </c>
      <c r="AQ23" s="408">
        <v>379</v>
      </c>
      <c r="AR23" s="415">
        <v>0.38244197780020184</v>
      </c>
      <c r="AS23" s="415">
        <v>0.53431372549019607</v>
      </c>
      <c r="AT23" s="408">
        <v>10</v>
      </c>
      <c r="AU23" s="409">
        <v>6.84</v>
      </c>
      <c r="AV23" s="420">
        <v>368</v>
      </c>
      <c r="AW23" s="420">
        <v>382</v>
      </c>
      <c r="AX23" s="420">
        <v>324</v>
      </c>
      <c r="AY23" s="415">
        <v>0.49066666666666664</v>
      </c>
      <c r="AZ23" s="416">
        <v>17.55</v>
      </c>
      <c r="BA23" s="421">
        <v>4</v>
      </c>
      <c r="BB23" s="420">
        <v>0.66700000000000004</v>
      </c>
      <c r="BC23" s="408">
        <v>2</v>
      </c>
      <c r="BD23" s="422">
        <v>-0.04</v>
      </c>
      <c r="BE23" s="412">
        <v>49.68</v>
      </c>
      <c r="BF23" s="416">
        <v>18.28</v>
      </c>
      <c r="BG23" s="422">
        <v>2.101</v>
      </c>
      <c r="BH23" s="422">
        <v>-1.1499999999999999</v>
      </c>
      <c r="BI23" s="412">
        <v>49.7</v>
      </c>
      <c r="BJ23" s="415">
        <v>5.5900621118012424E-2</v>
      </c>
      <c r="BK23" s="423">
        <v>0.92200000000000004</v>
      </c>
      <c r="BL23" s="421">
        <v>977.9006211180124</v>
      </c>
      <c r="BM23" s="415">
        <v>-2.2099378881987534E-2</v>
      </c>
      <c r="BN23" s="416">
        <v>1.6536180550593567</v>
      </c>
      <c r="BO23" s="416">
        <v>2.3885594128635153</v>
      </c>
      <c r="BP23" s="412">
        <v>29.581389651617378</v>
      </c>
      <c r="BQ23" s="412">
        <v>30.622556575173267</v>
      </c>
      <c r="BR23" s="412">
        <v>57.141690569273322</v>
      </c>
      <c r="BS23" s="412">
        <v>58.182857492829214</v>
      </c>
      <c r="BT23" s="412">
        <v>-1.0411669235558918</v>
      </c>
      <c r="BU23" s="408">
        <v>27</v>
      </c>
      <c r="BV23" s="408">
        <v>39</v>
      </c>
      <c r="BW23" s="421">
        <v>456</v>
      </c>
      <c r="BX23" s="421">
        <v>461</v>
      </c>
      <c r="BY23" s="421">
        <v>200</v>
      </c>
      <c r="BZ23" s="421">
        <v>207</v>
      </c>
      <c r="CA23" s="421">
        <v>243</v>
      </c>
      <c r="CB23" s="421">
        <v>250</v>
      </c>
      <c r="CC23" s="408">
        <v>413</v>
      </c>
      <c r="CD23" s="408">
        <v>458</v>
      </c>
      <c r="CE23" s="415">
        <v>0.47416762342135477</v>
      </c>
      <c r="CF23" s="409">
        <v>0.69</v>
      </c>
      <c r="CG23" s="424">
        <v>-0.84469633532059696</v>
      </c>
      <c r="CH23" s="416">
        <v>1.7019100544531311</v>
      </c>
      <c r="CI23" s="416">
        <v>2.7086737486366732</v>
      </c>
      <c r="CJ23" s="416">
        <v>28.261295129580869</v>
      </c>
      <c r="CK23" s="416">
        <v>32.312320470462268</v>
      </c>
      <c r="CL23" s="416">
        <v>55.92332615548105</v>
      </c>
      <c r="CM23" s="416">
        <v>59.686704726595728</v>
      </c>
      <c r="CN23" s="412">
        <v>2.7222116475587868</v>
      </c>
      <c r="CO23" s="421">
        <v>71</v>
      </c>
      <c r="CP23" s="421">
        <v>113</v>
      </c>
      <c r="CQ23" s="421">
        <v>1108</v>
      </c>
      <c r="CR23" s="421">
        <v>1235</v>
      </c>
      <c r="CS23" s="421">
        <v>503</v>
      </c>
      <c r="CT23" s="421">
        <v>520</v>
      </c>
      <c r="CU23" s="421">
        <v>622</v>
      </c>
      <c r="CV23" s="421">
        <v>651</v>
      </c>
      <c r="CW23" s="408">
        <v>6</v>
      </c>
      <c r="CX23" s="408">
        <v>17</v>
      </c>
      <c r="CY23" s="421">
        <v>11</v>
      </c>
      <c r="CZ23" s="416">
        <v>0.35165407658245479</v>
      </c>
      <c r="DA23" s="416">
        <v>0.99635321698362178</v>
      </c>
      <c r="DB23" s="416">
        <v>0.64469914040116716</v>
      </c>
      <c r="DC23" s="410">
        <v>32</v>
      </c>
      <c r="DD23" s="410">
        <v>37</v>
      </c>
      <c r="DE23" s="417">
        <v>28.63</v>
      </c>
      <c r="DF23" s="417">
        <v>44.74</v>
      </c>
      <c r="DG23" s="417">
        <v>34</v>
      </c>
      <c r="DH23" s="417">
        <v>39.86</v>
      </c>
      <c r="DI23" s="410">
        <v>1</v>
      </c>
      <c r="DJ23" s="410">
        <v>2</v>
      </c>
      <c r="DK23" s="415">
        <v>0.33333333333333331</v>
      </c>
      <c r="DL23" s="421">
        <v>1</v>
      </c>
      <c r="DM23" s="421">
        <v>1</v>
      </c>
      <c r="DN23" s="410">
        <v>0</v>
      </c>
      <c r="DO23" s="410">
        <v>0</v>
      </c>
      <c r="DP23" s="410">
        <v>0</v>
      </c>
      <c r="DQ23" s="410">
        <v>0</v>
      </c>
      <c r="DR23" s="410">
        <v>0</v>
      </c>
      <c r="DS23" s="410">
        <v>0</v>
      </c>
      <c r="DT23" s="408"/>
      <c r="DU23" s="421"/>
      <c r="DV23" s="408"/>
      <c r="DW23" s="408"/>
      <c r="DX23" s="408"/>
      <c r="DY23" s="408"/>
      <c r="DZ23" s="408"/>
      <c r="EA23" s="410"/>
    </row>
    <row r="24" spans="1:131" ht="26.25" x14ac:dyDescent="0.25">
      <c r="A24" s="428" t="s">
        <v>218</v>
      </c>
      <c r="B24" s="428" t="s">
        <v>219</v>
      </c>
      <c r="C24" s="436" t="s">
        <v>220</v>
      </c>
      <c r="D24" s="426" t="s">
        <v>221</v>
      </c>
      <c r="E24" s="428" t="s">
        <v>155</v>
      </c>
      <c r="F24" s="941">
        <f>21/35</f>
        <v>0.6</v>
      </c>
      <c r="G24" s="941" t="s">
        <v>456</v>
      </c>
      <c r="H24" s="941">
        <f>19/39</f>
        <v>0.48717948717948717</v>
      </c>
      <c r="I24" s="428">
        <v>35</v>
      </c>
      <c r="J24" s="428">
        <v>8</v>
      </c>
      <c r="K24" s="428">
        <v>13</v>
      </c>
      <c r="L24" s="437">
        <v>21</v>
      </c>
      <c r="M24" s="431">
        <v>2.7715657880263396</v>
      </c>
      <c r="N24" s="426">
        <v>8</v>
      </c>
      <c r="O24" s="426">
        <v>7</v>
      </c>
      <c r="P24" s="426">
        <v>5</v>
      </c>
      <c r="Q24" s="426">
        <v>80</v>
      </c>
      <c r="R24" s="426">
        <v>18</v>
      </c>
      <c r="S24" s="426">
        <v>25</v>
      </c>
      <c r="T24" s="426">
        <v>76</v>
      </c>
      <c r="U24" s="429">
        <v>0.1</v>
      </c>
      <c r="V24" s="429">
        <v>6.5040650406504072E-2</v>
      </c>
      <c r="W24" s="430">
        <v>454.61666666669998</v>
      </c>
      <c r="X24" s="430">
        <v>12.989047619048572</v>
      </c>
      <c r="Y24" s="430">
        <v>444.09</v>
      </c>
      <c r="Z24" s="430">
        <v>12.688285714285714</v>
      </c>
      <c r="AA24" s="430">
        <v>1196.33</v>
      </c>
      <c r="AB24" s="430">
        <v>34.180857142857143</v>
      </c>
      <c r="AC24" s="433">
        <v>0.27071725533704782</v>
      </c>
      <c r="AD24" s="432">
        <v>71.166666666666671</v>
      </c>
      <c r="AE24" s="425">
        <v>11</v>
      </c>
      <c r="AF24" s="426">
        <v>92</v>
      </c>
      <c r="AG24" s="426">
        <v>51</v>
      </c>
      <c r="AH24" s="426">
        <v>4</v>
      </c>
      <c r="AI24" s="426">
        <v>17</v>
      </c>
      <c r="AJ24" s="429">
        <v>0.33333333333333331</v>
      </c>
      <c r="AK24" s="429">
        <v>0.5</v>
      </c>
      <c r="AL24" s="429">
        <v>0.83333333333333326</v>
      </c>
      <c r="AM24" s="426">
        <v>117</v>
      </c>
      <c r="AN24" s="433">
        <v>0.28192771084337348</v>
      </c>
      <c r="AO24" s="426">
        <v>147</v>
      </c>
      <c r="AP24" s="433">
        <v>0.35421686746987951</v>
      </c>
      <c r="AQ24" s="426">
        <v>151</v>
      </c>
      <c r="AR24" s="433">
        <v>0.363855421686747</v>
      </c>
      <c r="AS24" s="433">
        <v>0.44318181818181818</v>
      </c>
      <c r="AT24" s="426">
        <v>7</v>
      </c>
      <c r="AU24" s="427">
        <v>-3.4</v>
      </c>
      <c r="AV24" s="438">
        <v>176</v>
      </c>
      <c r="AW24" s="438">
        <v>174</v>
      </c>
      <c r="AX24" s="438">
        <v>139</v>
      </c>
      <c r="AY24" s="433">
        <v>0.50285714285714289</v>
      </c>
      <c r="AZ24" s="434">
        <v>17.27</v>
      </c>
      <c r="BA24" s="439">
        <v>10</v>
      </c>
      <c r="BB24" s="438">
        <v>0.224</v>
      </c>
      <c r="BC24" s="426">
        <v>8</v>
      </c>
      <c r="BD24" s="440">
        <v>-2.391</v>
      </c>
      <c r="BE24" s="430">
        <v>48.81</v>
      </c>
      <c r="BF24" s="434">
        <v>17.690000000000001</v>
      </c>
      <c r="BG24" s="440">
        <v>0.81500000000000006</v>
      </c>
      <c r="BH24" s="440">
        <v>-3.8140000000000001</v>
      </c>
      <c r="BI24" s="430">
        <v>48.67</v>
      </c>
      <c r="BJ24" s="433">
        <v>9.8360655737704916E-2</v>
      </c>
      <c r="BK24" s="441">
        <v>0.9375</v>
      </c>
      <c r="BL24" s="439">
        <v>1035.860655737705</v>
      </c>
      <c r="BM24" s="433">
        <v>3.5860655737704916E-2</v>
      </c>
      <c r="BN24" s="434">
        <v>3.2425859623049385</v>
      </c>
      <c r="BO24" s="434">
        <v>1.7564007295818418</v>
      </c>
      <c r="BP24" s="430">
        <v>32.966290616766869</v>
      </c>
      <c r="BQ24" s="430">
        <v>28.102411673309469</v>
      </c>
      <c r="BR24" s="430">
        <v>55.799500101330814</v>
      </c>
      <c r="BS24" s="430">
        <v>47.287711950280354</v>
      </c>
      <c r="BT24" s="430">
        <v>8.5117881510504603</v>
      </c>
      <c r="BU24" s="426">
        <v>24</v>
      </c>
      <c r="BV24" s="426">
        <v>13</v>
      </c>
      <c r="BW24" s="439">
        <v>220</v>
      </c>
      <c r="BX24" s="439">
        <v>195</v>
      </c>
      <c r="BY24" s="439">
        <v>68</v>
      </c>
      <c r="BZ24" s="439">
        <v>68</v>
      </c>
      <c r="CA24" s="439">
        <v>74</v>
      </c>
      <c r="CB24" s="439">
        <v>101</v>
      </c>
      <c r="CC24" s="426">
        <v>201</v>
      </c>
      <c r="CD24" s="426">
        <v>152</v>
      </c>
      <c r="CE24" s="433">
        <v>0.56940509915014159</v>
      </c>
      <c r="CF24" s="427">
        <v>8.6300000000000008</v>
      </c>
      <c r="CG24" s="442">
        <v>11.208424514686824</v>
      </c>
      <c r="CH24" s="434">
        <v>2.4575159028027382</v>
      </c>
      <c r="CI24" s="434">
        <v>2.8587429889746141</v>
      </c>
      <c r="CJ24" s="434">
        <v>29.540344219404346</v>
      </c>
      <c r="CK24" s="434">
        <v>33.753228624209044</v>
      </c>
      <c r="CL24" s="434">
        <v>51.557680573086024</v>
      </c>
      <c r="CM24" s="434">
        <v>58.077620723378999</v>
      </c>
      <c r="CN24" s="430">
        <v>15.031728301343435</v>
      </c>
      <c r="CO24" s="439">
        <v>49</v>
      </c>
      <c r="CP24" s="439">
        <v>57</v>
      </c>
      <c r="CQ24" s="439">
        <v>540</v>
      </c>
      <c r="CR24" s="439">
        <v>616</v>
      </c>
      <c r="CS24" s="439">
        <v>199</v>
      </c>
      <c r="CT24" s="439">
        <v>221</v>
      </c>
      <c r="CU24" s="439">
        <v>264</v>
      </c>
      <c r="CV24" s="439">
        <v>240</v>
      </c>
      <c r="CW24" s="426">
        <v>7</v>
      </c>
      <c r="CX24" s="426">
        <v>7</v>
      </c>
      <c r="CY24" s="439">
        <v>0</v>
      </c>
      <c r="CZ24" s="434">
        <v>0.92385526267544649</v>
      </c>
      <c r="DA24" s="434">
        <v>0.92385526267544649</v>
      </c>
      <c r="DB24" s="434">
        <v>0</v>
      </c>
      <c r="DC24" s="428">
        <v>21</v>
      </c>
      <c r="DD24" s="428">
        <v>15</v>
      </c>
      <c r="DE24" s="435">
        <v>14.2</v>
      </c>
      <c r="DF24" s="435">
        <v>20.75</v>
      </c>
      <c r="DG24" s="435">
        <v>14.58</v>
      </c>
      <c r="DH24" s="435">
        <v>17.77</v>
      </c>
      <c r="DI24" s="428">
        <v>16</v>
      </c>
      <c r="DJ24" s="428">
        <v>21</v>
      </c>
      <c r="DK24" s="433">
        <v>0.43243243243243246</v>
      </c>
      <c r="DL24" s="439">
        <v>16</v>
      </c>
      <c r="DM24" s="439">
        <v>8</v>
      </c>
      <c r="DN24" s="428">
        <v>1</v>
      </c>
      <c r="DO24" s="428">
        <v>1</v>
      </c>
      <c r="DP24" s="428">
        <v>0</v>
      </c>
      <c r="DQ24" s="428">
        <v>0</v>
      </c>
      <c r="DR24" s="428">
        <v>1</v>
      </c>
      <c r="DS24" s="428">
        <v>-6.3E-2</v>
      </c>
      <c r="DT24" s="428">
        <v>4</v>
      </c>
      <c r="DU24" s="443">
        <v>2</v>
      </c>
      <c r="DV24" s="428">
        <v>0</v>
      </c>
      <c r="DW24" s="428">
        <v>1</v>
      </c>
      <c r="DX24" s="428">
        <v>-0.25</v>
      </c>
      <c r="DY24" s="428">
        <v>0</v>
      </c>
      <c r="DZ24" s="428">
        <v>0</v>
      </c>
      <c r="EA24" s="428">
        <v>0</v>
      </c>
    </row>
    <row r="25" spans="1:131" ht="26.25" x14ac:dyDescent="0.25">
      <c r="A25" s="447" t="s">
        <v>222</v>
      </c>
      <c r="B25" s="447" t="s">
        <v>223</v>
      </c>
      <c r="C25" s="455" t="s">
        <v>224</v>
      </c>
      <c r="D25" s="445" t="s">
        <v>193</v>
      </c>
      <c r="E25" s="447" t="s">
        <v>155</v>
      </c>
      <c r="F25" s="941">
        <f>21/43</f>
        <v>0.48837209302325579</v>
      </c>
      <c r="G25" s="941" t="s">
        <v>459</v>
      </c>
      <c r="H25" s="941">
        <f>89/67</f>
        <v>1.3283582089552239</v>
      </c>
      <c r="I25" s="447">
        <v>43</v>
      </c>
      <c r="J25" s="447">
        <v>5</v>
      </c>
      <c r="K25" s="447">
        <v>12</v>
      </c>
      <c r="L25" s="456">
        <v>17</v>
      </c>
      <c r="M25" s="450">
        <v>2.0929516774392121</v>
      </c>
      <c r="N25" s="445">
        <v>5</v>
      </c>
      <c r="O25" s="445">
        <v>7</v>
      </c>
      <c r="P25" s="445">
        <v>3</v>
      </c>
      <c r="Q25" s="445">
        <v>43</v>
      </c>
      <c r="R25" s="445">
        <v>17</v>
      </c>
      <c r="S25" s="445">
        <v>21</v>
      </c>
      <c r="T25" s="445">
        <v>48</v>
      </c>
      <c r="U25" s="448">
        <v>0.11627906976744186</v>
      </c>
      <c r="V25" s="448">
        <v>6.1728395061728392E-2</v>
      </c>
      <c r="W25" s="449">
        <v>487.35</v>
      </c>
      <c r="X25" s="449">
        <v>11.333720930232559</v>
      </c>
      <c r="Y25" s="449">
        <v>483.41</v>
      </c>
      <c r="Z25" s="449">
        <v>11.242093023255814</v>
      </c>
      <c r="AA25" s="449">
        <v>1603.18</v>
      </c>
      <c r="AB25" s="449">
        <v>37.283255813953488</v>
      </c>
      <c r="AC25" s="452">
        <v>0.23167464619307099</v>
      </c>
      <c r="AD25" s="451">
        <v>77.666666666666657</v>
      </c>
      <c r="AE25" s="444">
        <v>16</v>
      </c>
      <c r="AF25" s="445">
        <v>11</v>
      </c>
      <c r="AG25" s="445">
        <v>41</v>
      </c>
      <c r="AH25" s="445">
        <v>18</v>
      </c>
      <c r="AI25" s="445">
        <v>19</v>
      </c>
      <c r="AJ25" s="448">
        <v>0.23809523809523808</v>
      </c>
      <c r="AK25" s="448">
        <v>0.47619047619047616</v>
      </c>
      <c r="AL25" s="448">
        <v>0.71428571428571419</v>
      </c>
      <c r="AM25" s="445">
        <v>127</v>
      </c>
      <c r="AN25" s="452">
        <v>0.30602409638554218</v>
      </c>
      <c r="AO25" s="445">
        <v>128</v>
      </c>
      <c r="AP25" s="452">
        <v>0.30843373493975906</v>
      </c>
      <c r="AQ25" s="445">
        <v>160</v>
      </c>
      <c r="AR25" s="452">
        <v>0.38554216867469882</v>
      </c>
      <c r="AS25" s="452">
        <v>0.49803921568627452</v>
      </c>
      <c r="AT25" s="445">
        <v>7</v>
      </c>
      <c r="AU25" s="446">
        <v>2</v>
      </c>
      <c r="AV25" s="457">
        <v>167</v>
      </c>
      <c r="AW25" s="457">
        <v>185</v>
      </c>
      <c r="AX25" s="457">
        <v>140</v>
      </c>
      <c r="AY25" s="452">
        <v>0.47443181818181818</v>
      </c>
      <c r="AZ25" s="453">
        <v>16.79</v>
      </c>
      <c r="BA25" s="458">
        <v>11</v>
      </c>
      <c r="BB25" s="457">
        <v>-0.46800000000000003</v>
      </c>
      <c r="BC25" s="445">
        <v>11</v>
      </c>
      <c r="BD25" s="459">
        <v>-0.69900000000000007</v>
      </c>
      <c r="BE25" s="449">
        <v>49.65</v>
      </c>
      <c r="BF25" s="453">
        <v>17.16</v>
      </c>
      <c r="BG25" s="459">
        <v>-1.9079999999999999</v>
      </c>
      <c r="BH25" s="459">
        <v>1.4610000000000001</v>
      </c>
      <c r="BI25" s="449">
        <v>50.27</v>
      </c>
      <c r="BJ25" s="452">
        <v>9.012875536480687E-2</v>
      </c>
      <c r="BK25" s="460">
        <v>0.92692307692307696</v>
      </c>
      <c r="BL25" s="458">
        <v>1017.0518322878838</v>
      </c>
      <c r="BM25" s="452">
        <v>1.7051832287883831E-2</v>
      </c>
      <c r="BN25" s="453">
        <v>2.6064831095757226</v>
      </c>
      <c r="BO25" s="453">
        <v>2.3582466229494634</v>
      </c>
      <c r="BP25" s="449">
        <v>28.919550691959209</v>
      </c>
      <c r="BQ25" s="449">
        <v>32.270743261413706</v>
      </c>
      <c r="BR25" s="449">
        <v>54.86026354440331</v>
      </c>
      <c r="BS25" s="449">
        <v>61.562648683312304</v>
      </c>
      <c r="BT25" s="449">
        <v>-6.7023851389089941</v>
      </c>
      <c r="BU25" s="445">
        <v>21</v>
      </c>
      <c r="BV25" s="445">
        <v>19</v>
      </c>
      <c r="BW25" s="458">
        <v>212</v>
      </c>
      <c r="BX25" s="458">
        <v>241</v>
      </c>
      <c r="BY25" s="458">
        <v>89</v>
      </c>
      <c r="BZ25" s="458">
        <v>105</v>
      </c>
      <c r="CA25" s="458">
        <v>131</v>
      </c>
      <c r="CB25" s="458">
        <v>120</v>
      </c>
      <c r="CC25" s="445">
        <v>213</v>
      </c>
      <c r="CD25" s="445">
        <v>231</v>
      </c>
      <c r="CE25" s="452">
        <v>0.47972972972972971</v>
      </c>
      <c r="CF25" s="446">
        <v>-3.7</v>
      </c>
      <c r="CG25" s="461">
        <v>-8.9053263153795825</v>
      </c>
      <c r="CH25" s="453">
        <v>2.4700906947441958</v>
      </c>
      <c r="CI25" s="453">
        <v>2.4326650781571626</v>
      </c>
      <c r="CJ25" s="453">
        <v>32.111179031674546</v>
      </c>
      <c r="CK25" s="453">
        <v>30.015344502800684</v>
      </c>
      <c r="CL25" s="453">
        <v>64.29720929652315</v>
      </c>
      <c r="CM25" s="453">
        <v>59.357027907034769</v>
      </c>
      <c r="CN25" s="449">
        <v>-11.642566528397374</v>
      </c>
      <c r="CO25" s="458">
        <v>66</v>
      </c>
      <c r="CP25" s="458">
        <v>65</v>
      </c>
      <c r="CQ25" s="458">
        <v>792</v>
      </c>
      <c r="CR25" s="458">
        <v>737</v>
      </c>
      <c r="CS25" s="458">
        <v>389</v>
      </c>
      <c r="CT25" s="458">
        <v>326</v>
      </c>
      <c r="CU25" s="458">
        <v>458</v>
      </c>
      <c r="CV25" s="458">
        <v>471</v>
      </c>
      <c r="CW25" s="445">
        <v>3</v>
      </c>
      <c r="CX25" s="445">
        <v>7</v>
      </c>
      <c r="CY25" s="458">
        <v>4</v>
      </c>
      <c r="CZ25" s="453">
        <v>0.36934441366574328</v>
      </c>
      <c r="DA25" s="453">
        <v>0.86180363188673426</v>
      </c>
      <c r="DB25" s="453">
        <v>0.49245921822099109</v>
      </c>
      <c r="DC25" s="447">
        <v>19</v>
      </c>
      <c r="DD25" s="447">
        <v>20</v>
      </c>
      <c r="DE25" s="454">
        <v>14.95</v>
      </c>
      <c r="DF25" s="454">
        <v>18.21</v>
      </c>
      <c r="DG25" s="454">
        <v>18.77</v>
      </c>
      <c r="DH25" s="454">
        <v>17.97</v>
      </c>
      <c r="DI25" s="447">
        <v>141</v>
      </c>
      <c r="DJ25" s="447">
        <v>180</v>
      </c>
      <c r="DK25" s="452">
        <v>0.43925233644859812</v>
      </c>
      <c r="DL25" s="458">
        <v>93</v>
      </c>
      <c r="DM25" s="458">
        <v>41</v>
      </c>
      <c r="DN25" s="447">
        <v>14</v>
      </c>
      <c r="DO25" s="447">
        <v>1</v>
      </c>
      <c r="DP25" s="447">
        <v>0.14000000000000001</v>
      </c>
      <c r="DQ25" s="447">
        <v>0</v>
      </c>
      <c r="DR25" s="447">
        <v>0</v>
      </c>
      <c r="DS25" s="447">
        <v>0</v>
      </c>
      <c r="DT25" s="447">
        <v>82</v>
      </c>
      <c r="DU25" s="462">
        <v>37</v>
      </c>
      <c r="DV25" s="447">
        <v>0</v>
      </c>
      <c r="DW25" s="447">
        <v>13</v>
      </c>
      <c r="DX25" s="447">
        <v>-0.159</v>
      </c>
      <c r="DY25" s="447">
        <v>0</v>
      </c>
      <c r="DZ25" s="447">
        <v>1</v>
      </c>
      <c r="EA25" s="447">
        <v>-1.2E-2</v>
      </c>
    </row>
    <row r="26" spans="1:131" ht="26.25" x14ac:dyDescent="0.25">
      <c r="A26" s="466" t="s">
        <v>222</v>
      </c>
      <c r="B26" s="466" t="s">
        <v>225</v>
      </c>
      <c r="C26" s="474" t="s">
        <v>226</v>
      </c>
      <c r="D26" s="464" t="s">
        <v>173</v>
      </c>
      <c r="E26" s="466" t="s">
        <v>137</v>
      </c>
      <c r="F26" s="941">
        <f>20/57</f>
        <v>0.35087719298245612</v>
      </c>
      <c r="G26" s="941" t="s">
        <v>456</v>
      </c>
      <c r="H26" s="941">
        <f>(69/70)</f>
        <v>0.98571428571428577</v>
      </c>
      <c r="I26" s="466">
        <v>57</v>
      </c>
      <c r="J26" s="466">
        <v>8</v>
      </c>
      <c r="K26" s="466">
        <v>8</v>
      </c>
      <c r="L26" s="475">
        <v>16</v>
      </c>
      <c r="M26" s="469">
        <v>1.4598540145985401</v>
      </c>
      <c r="N26" s="464">
        <v>8</v>
      </c>
      <c r="O26" s="464">
        <v>7</v>
      </c>
      <c r="P26" s="464">
        <v>1</v>
      </c>
      <c r="Q26" s="464">
        <v>61</v>
      </c>
      <c r="R26" s="464">
        <v>28</v>
      </c>
      <c r="S26" s="464">
        <v>26</v>
      </c>
      <c r="T26" s="464">
        <v>59</v>
      </c>
      <c r="U26" s="467">
        <v>0.13114754098360656</v>
      </c>
      <c r="V26" s="467">
        <v>6.9565217391304349E-2</v>
      </c>
      <c r="W26" s="468">
        <v>657.6</v>
      </c>
      <c r="X26" s="468">
        <v>11.536842105263158</v>
      </c>
      <c r="Y26" s="468">
        <v>653.48</v>
      </c>
      <c r="Z26" s="468">
        <v>11.464561403508773</v>
      </c>
      <c r="AA26" s="468">
        <v>2150.65</v>
      </c>
      <c r="AB26" s="468">
        <v>37.730701754385969</v>
      </c>
      <c r="AC26" s="471">
        <v>0.23304197736909485</v>
      </c>
      <c r="AD26" s="470">
        <v>105</v>
      </c>
      <c r="AE26" s="463">
        <v>16</v>
      </c>
      <c r="AF26" s="464">
        <v>43</v>
      </c>
      <c r="AG26" s="464">
        <v>76</v>
      </c>
      <c r="AH26" s="464">
        <v>17</v>
      </c>
      <c r="AI26" s="464">
        <v>21</v>
      </c>
      <c r="AJ26" s="467">
        <v>0.36363636363636365</v>
      </c>
      <c r="AK26" s="467">
        <v>0.36363636363636365</v>
      </c>
      <c r="AL26" s="467">
        <v>0.72727272727272729</v>
      </c>
      <c r="AM26" s="464">
        <v>197</v>
      </c>
      <c r="AN26" s="471">
        <v>0.33907056798623064</v>
      </c>
      <c r="AO26" s="464">
        <v>172</v>
      </c>
      <c r="AP26" s="471">
        <v>0.29604130808950085</v>
      </c>
      <c r="AQ26" s="464">
        <v>212</v>
      </c>
      <c r="AR26" s="471">
        <v>0.3648881239242685</v>
      </c>
      <c r="AS26" s="471">
        <v>0.53387533875338755</v>
      </c>
      <c r="AT26" s="464">
        <v>8</v>
      </c>
      <c r="AU26" s="465">
        <v>2.39</v>
      </c>
      <c r="AV26" s="476">
        <v>238</v>
      </c>
      <c r="AW26" s="476">
        <v>227</v>
      </c>
      <c r="AX26" s="476">
        <v>191</v>
      </c>
      <c r="AY26" s="471">
        <v>0.51182795698924732</v>
      </c>
      <c r="AZ26" s="472">
        <v>17.22</v>
      </c>
      <c r="BA26" s="477">
        <v>9</v>
      </c>
      <c r="BB26" s="476">
        <v>0.246</v>
      </c>
      <c r="BC26" s="464">
        <v>8</v>
      </c>
      <c r="BD26" s="478">
        <v>0.13600000000000001</v>
      </c>
      <c r="BE26" s="468">
        <v>49.84</v>
      </c>
      <c r="BF26" s="472">
        <v>17.32</v>
      </c>
      <c r="BG26" s="478">
        <v>-0.80400000000000005</v>
      </c>
      <c r="BH26" s="478">
        <v>4.7460000000000004</v>
      </c>
      <c r="BI26" s="468">
        <v>50.5</v>
      </c>
      <c r="BJ26" s="471">
        <v>6.6666666666666666E-2</v>
      </c>
      <c r="BK26" s="479">
        <v>0.92198581560283688</v>
      </c>
      <c r="BL26" s="477">
        <v>988.65248226950348</v>
      </c>
      <c r="BM26" s="471">
        <v>-1.1347517730496456E-2</v>
      </c>
      <c r="BN26" s="472">
        <v>2.0199547040460306</v>
      </c>
      <c r="BO26" s="472">
        <v>2.0199547040460306</v>
      </c>
      <c r="BP26" s="468">
        <v>30.299320560690461</v>
      </c>
      <c r="BQ26" s="468">
        <v>25.892146660953664</v>
      </c>
      <c r="BR26" s="468">
        <v>57.293260696578315</v>
      </c>
      <c r="BS26" s="468">
        <v>53.069719042663891</v>
      </c>
      <c r="BT26" s="468">
        <v>4.2235416539144239</v>
      </c>
      <c r="BU26" s="464">
        <v>22</v>
      </c>
      <c r="BV26" s="464">
        <v>22</v>
      </c>
      <c r="BW26" s="477">
        <v>308</v>
      </c>
      <c r="BX26" s="477">
        <v>260</v>
      </c>
      <c r="BY26" s="477">
        <v>126</v>
      </c>
      <c r="BZ26" s="477">
        <v>144</v>
      </c>
      <c r="CA26" s="477">
        <v>152</v>
      </c>
      <c r="CB26" s="477">
        <v>168</v>
      </c>
      <c r="CC26" s="464">
        <v>291</v>
      </c>
      <c r="CD26" s="464">
        <v>273</v>
      </c>
      <c r="CE26" s="471">
        <v>0.51595744680851063</v>
      </c>
      <c r="CF26" s="465">
        <v>2.5300000000000002</v>
      </c>
      <c r="CG26" s="480">
        <v>-1.2894664761668766</v>
      </c>
      <c r="CH26" s="472">
        <v>1.869202334178039</v>
      </c>
      <c r="CI26" s="472">
        <v>2.6503615186106524</v>
      </c>
      <c r="CJ26" s="472">
        <v>30.29781693906493</v>
      </c>
      <c r="CK26" s="472">
        <v>27.619556878153116</v>
      </c>
      <c r="CL26" s="472">
        <v>57.805779648013392</v>
      </c>
      <c r="CM26" s="472">
        <v>54.206867691163133</v>
      </c>
      <c r="CN26" s="468">
        <v>0.62462969706416516</v>
      </c>
      <c r="CO26" s="477">
        <v>67</v>
      </c>
      <c r="CP26" s="477">
        <v>95</v>
      </c>
      <c r="CQ26" s="477">
        <v>1019</v>
      </c>
      <c r="CR26" s="477">
        <v>895</v>
      </c>
      <c r="CS26" s="477">
        <v>458</v>
      </c>
      <c r="CT26" s="477">
        <v>451</v>
      </c>
      <c r="CU26" s="477">
        <v>502</v>
      </c>
      <c r="CV26" s="477">
        <v>528</v>
      </c>
      <c r="CW26" s="464">
        <v>5</v>
      </c>
      <c r="CX26" s="464">
        <v>6</v>
      </c>
      <c r="CY26" s="477">
        <v>1</v>
      </c>
      <c r="CZ26" s="472">
        <v>0.45620437956204374</v>
      </c>
      <c r="DA26" s="472">
        <v>0.54744525547445255</v>
      </c>
      <c r="DB26" s="472">
        <v>9.1240875912408759E-2</v>
      </c>
      <c r="DC26" s="466">
        <v>23</v>
      </c>
      <c r="DD26" s="466">
        <v>22</v>
      </c>
      <c r="DE26" s="473">
        <v>19.16</v>
      </c>
      <c r="DF26" s="473">
        <v>26.61</v>
      </c>
      <c r="DG26" s="473">
        <v>23.95</v>
      </c>
      <c r="DH26" s="473">
        <v>24.27</v>
      </c>
      <c r="DI26" s="466">
        <v>5</v>
      </c>
      <c r="DJ26" s="466">
        <v>4</v>
      </c>
      <c r="DK26" s="471">
        <v>0.55555555555555558</v>
      </c>
      <c r="DL26" s="477">
        <v>6</v>
      </c>
      <c r="DM26" s="477">
        <v>3</v>
      </c>
      <c r="DN26" s="466">
        <v>2</v>
      </c>
      <c r="DO26" s="466">
        <v>0</v>
      </c>
      <c r="DP26" s="466">
        <v>0.33300000000000002</v>
      </c>
      <c r="DQ26" s="466">
        <v>0</v>
      </c>
      <c r="DR26" s="466">
        <v>0</v>
      </c>
      <c r="DS26" s="466">
        <v>0</v>
      </c>
      <c r="DT26" s="466">
        <v>2</v>
      </c>
      <c r="DU26" s="481">
        <v>2</v>
      </c>
      <c r="DV26" s="466">
        <v>0</v>
      </c>
      <c r="DW26" s="466">
        <v>0</v>
      </c>
      <c r="DX26" s="466">
        <v>0</v>
      </c>
      <c r="DY26" s="466">
        <v>0</v>
      </c>
      <c r="DZ26" s="466">
        <v>0</v>
      </c>
      <c r="EA26" s="466">
        <v>0</v>
      </c>
    </row>
    <row r="27" spans="1:131" ht="39" x14ac:dyDescent="0.25">
      <c r="A27" s="485" t="s">
        <v>227</v>
      </c>
      <c r="B27" s="485" t="s">
        <v>228</v>
      </c>
      <c r="C27" s="493" t="s">
        <v>229</v>
      </c>
      <c r="D27" s="483" t="s">
        <v>173</v>
      </c>
      <c r="E27" s="485" t="s">
        <v>155</v>
      </c>
      <c r="F27" s="941">
        <f>20/54</f>
        <v>0.37037037037037035</v>
      </c>
      <c r="G27" s="941" t="s">
        <v>456</v>
      </c>
      <c r="H27" s="941">
        <f>(36/70)</f>
        <v>0.51428571428571423</v>
      </c>
      <c r="I27" s="485">
        <v>54</v>
      </c>
      <c r="J27" s="485">
        <v>5</v>
      </c>
      <c r="K27" s="485">
        <v>10</v>
      </c>
      <c r="L27" s="494">
        <v>15</v>
      </c>
      <c r="M27" s="488">
        <v>1.3904266549940207</v>
      </c>
      <c r="N27" s="483">
        <v>5</v>
      </c>
      <c r="O27" s="483">
        <v>7</v>
      </c>
      <c r="P27" s="483">
        <v>2</v>
      </c>
      <c r="Q27" s="483">
        <v>71</v>
      </c>
      <c r="R27" s="483">
        <v>38</v>
      </c>
      <c r="S27" s="483">
        <v>17</v>
      </c>
      <c r="T27" s="483">
        <v>71</v>
      </c>
      <c r="U27" s="486">
        <v>7.0422535211267609E-2</v>
      </c>
      <c r="V27" s="486">
        <v>3.968253968253968E-2</v>
      </c>
      <c r="W27" s="487">
        <v>647.28333333329999</v>
      </c>
      <c r="X27" s="487">
        <v>11.98672839506111</v>
      </c>
      <c r="Y27" s="487">
        <v>630.02</v>
      </c>
      <c r="Z27" s="487">
        <v>11.667037037037037</v>
      </c>
      <c r="AA27" s="487">
        <v>2023.1</v>
      </c>
      <c r="AB27" s="487">
        <v>37.464814814814815</v>
      </c>
      <c r="AC27" s="490">
        <v>0.23746381618622606</v>
      </c>
      <c r="AD27" s="489">
        <v>113.66666666666667</v>
      </c>
      <c r="AE27" s="482">
        <v>16</v>
      </c>
      <c r="AF27" s="483">
        <v>52</v>
      </c>
      <c r="AG27" s="483">
        <v>75</v>
      </c>
      <c r="AH27" s="483">
        <v>12</v>
      </c>
      <c r="AI27" s="483">
        <v>29</v>
      </c>
      <c r="AJ27" s="486">
        <v>0.23809523809523808</v>
      </c>
      <c r="AK27" s="486">
        <v>0.42857142857142855</v>
      </c>
      <c r="AL27" s="486">
        <v>0.66666666666666663</v>
      </c>
      <c r="AM27" s="483">
        <v>204</v>
      </c>
      <c r="AN27" s="490">
        <v>0.35915492957746481</v>
      </c>
      <c r="AO27" s="483">
        <v>151</v>
      </c>
      <c r="AP27" s="490">
        <v>0.26584507042253519</v>
      </c>
      <c r="AQ27" s="483">
        <v>213</v>
      </c>
      <c r="AR27" s="490">
        <v>0.375</v>
      </c>
      <c r="AS27" s="490">
        <v>0.57464788732394367</v>
      </c>
      <c r="AT27" s="483">
        <v>13</v>
      </c>
      <c r="AU27" s="484">
        <v>1.36</v>
      </c>
      <c r="AV27" s="495">
        <v>242</v>
      </c>
      <c r="AW27" s="495">
        <v>214</v>
      </c>
      <c r="AX27" s="495">
        <v>179</v>
      </c>
      <c r="AY27" s="490">
        <v>0.5307017543859649</v>
      </c>
      <c r="AZ27" s="491">
        <v>17.12</v>
      </c>
      <c r="BA27" s="496">
        <v>10</v>
      </c>
      <c r="BB27" s="495">
        <v>0.182</v>
      </c>
      <c r="BC27" s="483">
        <v>9</v>
      </c>
      <c r="BD27" s="497">
        <v>0.376</v>
      </c>
      <c r="BE27" s="487">
        <v>50.22</v>
      </c>
      <c r="BF27" s="491">
        <v>17.329999999999998</v>
      </c>
      <c r="BG27" s="497">
        <v>0.72299999999999998</v>
      </c>
      <c r="BH27" s="497">
        <v>6.4279999999999999</v>
      </c>
      <c r="BI27" s="487">
        <v>51.47</v>
      </c>
      <c r="BJ27" s="490">
        <v>6.1583577712609971E-2</v>
      </c>
      <c r="BK27" s="498">
        <v>0.92936802973977695</v>
      </c>
      <c r="BL27" s="496">
        <v>990.95160745238695</v>
      </c>
      <c r="BM27" s="490">
        <v>-9.0483925476130822E-3</v>
      </c>
      <c r="BN27" s="491">
        <v>1.9999365099520652</v>
      </c>
      <c r="BO27" s="491">
        <v>1.8094663661471064</v>
      </c>
      <c r="BP27" s="487">
        <v>32.475159518745443</v>
      </c>
      <c r="BQ27" s="487">
        <v>25.618234341766929</v>
      </c>
      <c r="BR27" s="487">
        <v>61.617091520904097</v>
      </c>
      <c r="BS27" s="487">
        <v>47.903241166947076</v>
      </c>
      <c r="BT27" s="487">
        <v>13.713850353957021</v>
      </c>
      <c r="BU27" s="483">
        <v>21</v>
      </c>
      <c r="BV27" s="483">
        <v>19</v>
      </c>
      <c r="BW27" s="496">
        <v>320</v>
      </c>
      <c r="BX27" s="496">
        <v>250</v>
      </c>
      <c r="BY27" s="496">
        <v>133</v>
      </c>
      <c r="BZ27" s="496">
        <v>104</v>
      </c>
      <c r="CA27" s="496">
        <v>130</v>
      </c>
      <c r="CB27" s="496">
        <v>173</v>
      </c>
      <c r="CC27" s="483">
        <v>281</v>
      </c>
      <c r="CD27" s="483">
        <v>245</v>
      </c>
      <c r="CE27" s="490">
        <v>0.53422053231939159</v>
      </c>
      <c r="CF27" s="484">
        <v>-0.31</v>
      </c>
      <c r="CG27" s="499">
        <v>5.7803010581823742</v>
      </c>
      <c r="CH27" s="491">
        <v>1.9573921210024221</v>
      </c>
      <c r="CI27" s="491">
        <v>2.8174583559883351</v>
      </c>
      <c r="CJ27" s="491">
        <v>30.576837526568141</v>
      </c>
      <c r="CK27" s="491">
        <v>26.75102565369977</v>
      </c>
      <c r="CL27" s="491">
        <v>58.603133804557366</v>
      </c>
      <c r="CM27" s="491">
        <v>50.476990756759427</v>
      </c>
      <c r="CN27" s="487">
        <v>5.5877073061590821</v>
      </c>
      <c r="CO27" s="496">
        <v>66</v>
      </c>
      <c r="CP27" s="496">
        <v>95</v>
      </c>
      <c r="CQ27" s="496">
        <v>965</v>
      </c>
      <c r="CR27" s="496">
        <v>807</v>
      </c>
      <c r="CS27" s="496">
        <v>385</v>
      </c>
      <c r="CT27" s="496">
        <v>371</v>
      </c>
      <c r="CU27" s="496">
        <v>429</v>
      </c>
      <c r="CV27" s="496">
        <v>560</v>
      </c>
      <c r="CW27" s="483">
        <v>4</v>
      </c>
      <c r="CX27" s="483">
        <v>4</v>
      </c>
      <c r="CY27" s="496">
        <v>0</v>
      </c>
      <c r="CZ27" s="491">
        <v>0.37078044133173887</v>
      </c>
      <c r="DA27" s="491">
        <v>0.37078044133173887</v>
      </c>
      <c r="DB27" s="491">
        <v>0</v>
      </c>
      <c r="DC27" s="485">
        <v>25</v>
      </c>
      <c r="DD27" s="485">
        <v>21</v>
      </c>
      <c r="DE27" s="492">
        <v>19.25</v>
      </c>
      <c r="DF27" s="492">
        <v>26.27</v>
      </c>
      <c r="DG27" s="492">
        <v>23.92</v>
      </c>
      <c r="DH27" s="492">
        <v>23.06</v>
      </c>
      <c r="DI27" s="485">
        <v>53</v>
      </c>
      <c r="DJ27" s="485">
        <v>39</v>
      </c>
      <c r="DK27" s="490">
        <v>0.57608695652173914</v>
      </c>
      <c r="DL27" s="496">
        <v>38</v>
      </c>
      <c r="DM27" s="496">
        <v>21</v>
      </c>
      <c r="DN27" s="485">
        <v>7</v>
      </c>
      <c r="DO27" s="485">
        <v>1</v>
      </c>
      <c r="DP27" s="485">
        <v>0.158</v>
      </c>
      <c r="DQ27" s="485">
        <v>0</v>
      </c>
      <c r="DR27" s="485">
        <v>0</v>
      </c>
      <c r="DS27" s="485">
        <v>0</v>
      </c>
      <c r="DT27" s="485">
        <v>19</v>
      </c>
      <c r="DU27" s="500">
        <v>11</v>
      </c>
      <c r="DV27" s="485">
        <v>0</v>
      </c>
      <c r="DW27" s="485">
        <v>2</v>
      </c>
      <c r="DX27" s="485">
        <v>-0.105</v>
      </c>
      <c r="DY27" s="485">
        <v>0</v>
      </c>
      <c r="DZ27" s="485">
        <v>0</v>
      </c>
      <c r="EA27" s="485">
        <v>0</v>
      </c>
    </row>
    <row r="28" spans="1:131" ht="39" x14ac:dyDescent="0.25">
      <c r="A28" s="504" t="s">
        <v>230</v>
      </c>
      <c r="B28" s="504" t="s">
        <v>231</v>
      </c>
      <c r="C28" s="512" t="s">
        <v>232</v>
      </c>
      <c r="D28" s="502" t="s">
        <v>221</v>
      </c>
      <c r="E28" s="504" t="s">
        <v>155</v>
      </c>
      <c r="F28" s="941">
        <f>(20/68)</f>
        <v>0.29411764705882354</v>
      </c>
      <c r="G28" s="941" t="s">
        <v>458</v>
      </c>
      <c r="H28" s="941">
        <f>(21/50)</f>
        <v>0.42</v>
      </c>
      <c r="I28" s="504">
        <v>68</v>
      </c>
      <c r="J28" s="504">
        <v>3</v>
      </c>
      <c r="K28" s="504">
        <v>13</v>
      </c>
      <c r="L28" s="513">
        <v>16</v>
      </c>
      <c r="M28" s="507">
        <v>1.140119950119707</v>
      </c>
      <c r="N28" s="502">
        <v>1</v>
      </c>
      <c r="O28" s="502">
        <v>5</v>
      </c>
      <c r="P28" s="502">
        <v>6</v>
      </c>
      <c r="Q28" s="502">
        <v>65</v>
      </c>
      <c r="R28" s="502">
        <v>16</v>
      </c>
      <c r="S28" s="502">
        <v>29</v>
      </c>
      <c r="T28" s="502">
        <v>73</v>
      </c>
      <c r="U28" s="505">
        <v>4.6153846153846156E-2</v>
      </c>
      <c r="V28" s="505">
        <v>2.7272727272727271E-2</v>
      </c>
      <c r="W28" s="506">
        <v>842.01666666669996</v>
      </c>
      <c r="X28" s="506">
        <v>12.382598039216177</v>
      </c>
      <c r="Y28" s="506">
        <v>801.19</v>
      </c>
      <c r="Z28" s="506">
        <v>11.782205882352942</v>
      </c>
      <c r="AA28" s="506">
        <v>2417.17</v>
      </c>
      <c r="AB28" s="506">
        <v>35.546617647058824</v>
      </c>
      <c r="AC28" s="509">
        <v>0.24894356131694406</v>
      </c>
      <c r="AD28" s="508">
        <v>82.954545454545453</v>
      </c>
      <c r="AE28" s="501">
        <v>29</v>
      </c>
      <c r="AF28" s="502">
        <v>54</v>
      </c>
      <c r="AG28" s="502">
        <v>58</v>
      </c>
      <c r="AH28" s="502">
        <v>8</v>
      </c>
      <c r="AI28" s="502">
        <v>22</v>
      </c>
      <c r="AJ28" s="505">
        <v>0.13636363636363635</v>
      </c>
      <c r="AK28" s="505">
        <v>0.5</v>
      </c>
      <c r="AL28" s="505">
        <v>0.63636363636363635</v>
      </c>
      <c r="AM28" s="502">
        <v>226</v>
      </c>
      <c r="AN28" s="509">
        <v>0.30173564753004006</v>
      </c>
      <c r="AO28" s="502">
        <v>258</v>
      </c>
      <c r="AP28" s="509">
        <v>0.34445927903871831</v>
      </c>
      <c r="AQ28" s="502">
        <v>265</v>
      </c>
      <c r="AR28" s="509">
        <v>0.35380507343124168</v>
      </c>
      <c r="AS28" s="509">
        <v>0.46694214876033058</v>
      </c>
      <c r="AT28" s="502">
        <v>9</v>
      </c>
      <c r="AU28" s="503">
        <v>-2.0299999999999998</v>
      </c>
      <c r="AV28" s="514">
        <v>319</v>
      </c>
      <c r="AW28" s="514">
        <v>273</v>
      </c>
      <c r="AX28" s="514">
        <v>234</v>
      </c>
      <c r="AY28" s="509">
        <v>0.53885135135135132</v>
      </c>
      <c r="AZ28" s="510">
        <v>17.260000000000002</v>
      </c>
      <c r="BA28" s="515">
        <v>11</v>
      </c>
      <c r="BB28" s="514">
        <v>0.183</v>
      </c>
      <c r="BC28" s="502">
        <v>11</v>
      </c>
      <c r="BD28" s="516">
        <v>-0.48</v>
      </c>
      <c r="BE28" s="506">
        <v>49.63</v>
      </c>
      <c r="BF28" s="510">
        <v>17.600000000000001</v>
      </c>
      <c r="BG28" s="516">
        <v>1.5089999999999999</v>
      </c>
      <c r="BH28" s="516">
        <v>-3.714</v>
      </c>
      <c r="BI28" s="506">
        <v>48.4</v>
      </c>
      <c r="BJ28" s="509">
        <v>6.0273972602739728E-2</v>
      </c>
      <c r="BK28" s="517">
        <v>0.89603960396039606</v>
      </c>
      <c r="BL28" s="515">
        <v>956.31357656313583</v>
      </c>
      <c r="BM28" s="509">
        <v>-4.3686423436864213E-2</v>
      </c>
      <c r="BN28" s="510">
        <v>1.6475492704601904</v>
      </c>
      <c r="BO28" s="510">
        <v>3.1453213345149087</v>
      </c>
      <c r="BP28" s="506">
        <v>27.334340168998612</v>
      </c>
      <c r="BQ28" s="506">
        <v>30.254995693905311</v>
      </c>
      <c r="BR28" s="506">
        <v>50.250252749035809</v>
      </c>
      <c r="BS28" s="506">
        <v>52.796465257928823</v>
      </c>
      <c r="BT28" s="506">
        <v>-2.5462125088930136</v>
      </c>
      <c r="BU28" s="502">
        <v>22</v>
      </c>
      <c r="BV28" s="502">
        <v>42</v>
      </c>
      <c r="BW28" s="515">
        <v>343</v>
      </c>
      <c r="BX28" s="515">
        <v>362</v>
      </c>
      <c r="BY28" s="515">
        <v>128</v>
      </c>
      <c r="BZ28" s="515">
        <v>146</v>
      </c>
      <c r="CA28" s="515">
        <v>155</v>
      </c>
      <c r="CB28" s="515">
        <v>178</v>
      </c>
      <c r="CC28" s="502">
        <v>316</v>
      </c>
      <c r="CD28" s="502">
        <v>328</v>
      </c>
      <c r="CE28" s="509">
        <v>0.49068322981366458</v>
      </c>
      <c r="CF28" s="503">
        <v>-1.02</v>
      </c>
      <c r="CG28" s="518">
        <v>1.3911759208590535</v>
      </c>
      <c r="CH28" s="510">
        <v>2.7304657926418083</v>
      </c>
      <c r="CI28" s="510">
        <v>2.8297554578287833</v>
      </c>
      <c r="CJ28" s="510">
        <v>30.58121687758825</v>
      </c>
      <c r="CK28" s="510">
        <v>32.517365348734259</v>
      </c>
      <c r="CL28" s="510">
        <v>54.361091689868729</v>
      </c>
      <c r="CM28" s="510">
        <v>56.917800568433336</v>
      </c>
      <c r="CN28" s="506">
        <v>1.0496369671592731E-2</v>
      </c>
      <c r="CO28" s="515">
        <v>110</v>
      </c>
      <c r="CP28" s="515">
        <v>114</v>
      </c>
      <c r="CQ28" s="515">
        <v>1122</v>
      </c>
      <c r="CR28" s="515">
        <v>1196</v>
      </c>
      <c r="CS28" s="515">
        <v>434</v>
      </c>
      <c r="CT28" s="515">
        <v>455</v>
      </c>
      <c r="CU28" s="515">
        <v>528</v>
      </c>
      <c r="CV28" s="515">
        <v>524</v>
      </c>
      <c r="CW28" s="502">
        <v>7</v>
      </c>
      <c r="CX28" s="502">
        <v>17</v>
      </c>
      <c r="CY28" s="515">
        <v>10</v>
      </c>
      <c r="CZ28" s="510">
        <v>0.49880247817737178</v>
      </c>
      <c r="DA28" s="510">
        <v>1.2113774470021885</v>
      </c>
      <c r="DB28" s="510">
        <v>0.71257496882481686</v>
      </c>
      <c r="DC28" s="504">
        <v>27</v>
      </c>
      <c r="DD28" s="504">
        <v>29</v>
      </c>
      <c r="DE28" s="511">
        <v>31.01</v>
      </c>
      <c r="DF28" s="511">
        <v>32.630000000000003</v>
      </c>
      <c r="DG28" s="511">
        <v>29.54</v>
      </c>
      <c r="DH28" s="511">
        <v>32.36</v>
      </c>
      <c r="DI28" s="504">
        <v>246</v>
      </c>
      <c r="DJ28" s="504">
        <v>331</v>
      </c>
      <c r="DK28" s="509">
        <v>0.42634315424610053</v>
      </c>
      <c r="DL28" s="515">
        <v>163</v>
      </c>
      <c r="DM28" s="515">
        <v>70</v>
      </c>
      <c r="DN28" s="504">
        <v>22</v>
      </c>
      <c r="DO28" s="504">
        <v>1</v>
      </c>
      <c r="DP28" s="504">
        <v>0.129</v>
      </c>
      <c r="DQ28" s="504">
        <v>0</v>
      </c>
      <c r="DR28" s="504">
        <v>0</v>
      </c>
      <c r="DS28" s="504">
        <v>0</v>
      </c>
      <c r="DT28" s="504">
        <v>204</v>
      </c>
      <c r="DU28" s="519">
        <v>83</v>
      </c>
      <c r="DV28" s="504">
        <v>1</v>
      </c>
      <c r="DW28" s="504">
        <v>26</v>
      </c>
      <c r="DX28" s="504">
        <v>-0.123</v>
      </c>
      <c r="DY28" s="504">
        <v>0</v>
      </c>
      <c r="DZ28" s="504">
        <v>0</v>
      </c>
      <c r="EA28" s="504">
        <v>0</v>
      </c>
    </row>
    <row r="29" spans="1:131" ht="26.25" x14ac:dyDescent="0.25">
      <c r="A29" s="523" t="s">
        <v>233</v>
      </c>
      <c r="B29" s="523" t="s">
        <v>234</v>
      </c>
      <c r="C29" s="531" t="s">
        <v>235</v>
      </c>
      <c r="D29" s="521" t="s">
        <v>236</v>
      </c>
      <c r="E29" s="523" t="s">
        <v>160</v>
      </c>
      <c r="F29" s="941">
        <f>20/60</f>
        <v>0.33333333333333331</v>
      </c>
      <c r="G29" s="941" t="s">
        <v>456</v>
      </c>
      <c r="H29" s="941">
        <f>10/48</f>
        <v>0.20833333333333334</v>
      </c>
      <c r="I29" s="523">
        <v>60</v>
      </c>
      <c r="J29" s="523">
        <v>2</v>
      </c>
      <c r="K29" s="523">
        <v>16</v>
      </c>
      <c r="L29" s="532">
        <v>18</v>
      </c>
      <c r="M29" s="526">
        <v>0.90939710340181878</v>
      </c>
      <c r="N29" s="521">
        <v>2</v>
      </c>
      <c r="O29" s="521">
        <v>4</v>
      </c>
      <c r="P29" s="521">
        <v>10</v>
      </c>
      <c r="Q29" s="521">
        <v>85</v>
      </c>
      <c r="R29" s="521">
        <v>46</v>
      </c>
      <c r="S29" s="521">
        <v>62</v>
      </c>
      <c r="T29" s="521">
        <v>51</v>
      </c>
      <c r="U29" s="524">
        <v>2.3529411764705882E-2</v>
      </c>
      <c r="V29" s="524">
        <v>1.0362694300518135E-2</v>
      </c>
      <c r="W29" s="525">
        <v>1187.5999999999999</v>
      </c>
      <c r="X29" s="525">
        <v>19.793333333333333</v>
      </c>
      <c r="Y29" s="525">
        <v>1116.71</v>
      </c>
      <c r="Z29" s="525">
        <v>18.611833333333333</v>
      </c>
      <c r="AA29" s="525">
        <v>1902.87</v>
      </c>
      <c r="AB29" s="525">
        <v>31.714499999999997</v>
      </c>
      <c r="AC29" s="528">
        <v>0.36982295551036903</v>
      </c>
      <c r="AD29" s="527">
        <v>54.3</v>
      </c>
      <c r="AE29" s="520">
        <v>83</v>
      </c>
      <c r="AF29" s="521">
        <v>42</v>
      </c>
      <c r="AG29" s="521">
        <v>110</v>
      </c>
      <c r="AH29" s="521">
        <v>45</v>
      </c>
      <c r="AI29" s="521">
        <v>40</v>
      </c>
      <c r="AJ29" s="524">
        <v>0.05</v>
      </c>
      <c r="AK29" s="524">
        <v>0.35</v>
      </c>
      <c r="AL29" s="524">
        <v>0.39999999999999997</v>
      </c>
      <c r="AM29" s="521">
        <v>381</v>
      </c>
      <c r="AN29" s="528">
        <v>0.35943396226415092</v>
      </c>
      <c r="AO29" s="521">
        <v>274</v>
      </c>
      <c r="AP29" s="528">
        <v>0.25849056603773585</v>
      </c>
      <c r="AQ29" s="521">
        <v>405</v>
      </c>
      <c r="AR29" s="528">
        <v>0.38207547169811323</v>
      </c>
      <c r="AS29" s="528">
        <v>0.58167938931297714</v>
      </c>
      <c r="AT29" s="521">
        <v>6</v>
      </c>
      <c r="AU29" s="522">
        <v>12.59</v>
      </c>
      <c r="AV29" s="533">
        <v>392</v>
      </c>
      <c r="AW29" s="533">
        <v>353</v>
      </c>
      <c r="AX29" s="533">
        <v>351</v>
      </c>
      <c r="AY29" s="528">
        <v>0.52617449664429528</v>
      </c>
      <c r="AZ29" s="529">
        <v>17.52</v>
      </c>
      <c r="BA29" s="534">
        <v>2</v>
      </c>
      <c r="BB29" s="533">
        <v>0.47500000000000003</v>
      </c>
      <c r="BC29" s="521">
        <v>5</v>
      </c>
      <c r="BD29" s="535">
        <v>0.79300000000000004</v>
      </c>
      <c r="BE29" s="525">
        <v>50.44</v>
      </c>
      <c r="BF29" s="529">
        <v>17.149999999999999</v>
      </c>
      <c r="BG29" s="535">
        <v>2.2240000000000002</v>
      </c>
      <c r="BH29" s="535">
        <v>-2.056</v>
      </c>
      <c r="BI29" s="525">
        <v>48.21</v>
      </c>
      <c r="BJ29" s="528">
        <v>7.3664825046040522E-2</v>
      </c>
      <c r="BK29" s="536">
        <v>0.88212180746561886</v>
      </c>
      <c r="BL29" s="534">
        <v>955.78663251165938</v>
      </c>
      <c r="BM29" s="528">
        <v>-4.4213367488340621E-2</v>
      </c>
      <c r="BN29" s="529">
        <v>2.1491703307035848</v>
      </c>
      <c r="BO29" s="529">
        <v>3.2237554960553769</v>
      </c>
      <c r="BP29" s="525">
        <v>29.17498723930116</v>
      </c>
      <c r="BQ29" s="525">
        <v>27.348192458203112</v>
      </c>
      <c r="BR29" s="525">
        <v>54.320280108533098</v>
      </c>
      <c r="BS29" s="525">
        <v>54.750114174673811</v>
      </c>
      <c r="BT29" s="525">
        <v>-0.42983406614071384</v>
      </c>
      <c r="BU29" s="521">
        <v>40</v>
      </c>
      <c r="BV29" s="521">
        <v>60</v>
      </c>
      <c r="BW29" s="534">
        <v>503</v>
      </c>
      <c r="BX29" s="534">
        <v>449</v>
      </c>
      <c r="BY29" s="534">
        <v>215</v>
      </c>
      <c r="BZ29" s="534">
        <v>239</v>
      </c>
      <c r="CA29" s="534">
        <v>271</v>
      </c>
      <c r="CB29" s="534">
        <v>253</v>
      </c>
      <c r="CC29" s="521">
        <v>508</v>
      </c>
      <c r="CD29" s="521">
        <v>561</v>
      </c>
      <c r="CE29" s="528">
        <v>0.47521047708138447</v>
      </c>
      <c r="CF29" s="522">
        <v>4.63</v>
      </c>
      <c r="CG29" s="537">
        <v>0.36886059034783614</v>
      </c>
      <c r="CH29" s="529">
        <v>2.0810670198174339</v>
      </c>
      <c r="CI29" s="529">
        <v>2.9008813003515743</v>
      </c>
      <c r="CJ29" s="529">
        <v>25.382711378076273</v>
      </c>
      <c r="CK29" s="529">
        <v>30.396191016727364</v>
      </c>
      <c r="CL29" s="529">
        <v>50.387046934367568</v>
      </c>
      <c r="CM29" s="529">
        <v>59.594191931135605</v>
      </c>
      <c r="CN29" s="525">
        <v>8.7773109306273227</v>
      </c>
      <c r="CO29" s="534">
        <v>66</v>
      </c>
      <c r="CP29" s="534">
        <v>92</v>
      </c>
      <c r="CQ29" s="534">
        <v>739</v>
      </c>
      <c r="CR29" s="534">
        <v>872</v>
      </c>
      <c r="CS29" s="534">
        <v>338</v>
      </c>
      <c r="CT29" s="534">
        <v>417</v>
      </c>
      <c r="CU29" s="534">
        <v>509</v>
      </c>
      <c r="CV29" s="534">
        <v>455</v>
      </c>
      <c r="CW29" s="521">
        <v>3</v>
      </c>
      <c r="CX29" s="521">
        <v>2</v>
      </c>
      <c r="CY29" s="534">
        <v>-1</v>
      </c>
      <c r="CZ29" s="529">
        <v>0.15156618390030316</v>
      </c>
      <c r="DA29" s="529">
        <v>0.1010441226002021</v>
      </c>
      <c r="DB29" s="529">
        <v>-5.0522061300101048E-2</v>
      </c>
      <c r="DC29" s="523">
        <v>43</v>
      </c>
      <c r="DD29" s="523">
        <v>47</v>
      </c>
      <c r="DE29" s="530">
        <v>39.450000000000003</v>
      </c>
      <c r="DF29" s="530">
        <v>52.42</v>
      </c>
      <c r="DG29" s="530">
        <v>38.14</v>
      </c>
      <c r="DH29" s="530">
        <v>44.9</v>
      </c>
      <c r="DI29" s="521"/>
      <c r="DJ29" s="521"/>
      <c r="DK29" s="528" t="s">
        <v>161</v>
      </c>
      <c r="DL29" s="534"/>
      <c r="DM29" s="534"/>
      <c r="DN29" s="521"/>
      <c r="DO29" s="521"/>
      <c r="DP29" s="521"/>
      <c r="DQ29" s="521"/>
      <c r="DR29" s="521"/>
      <c r="DS29" s="521"/>
      <c r="DT29" s="539"/>
      <c r="DU29" s="538"/>
      <c r="DV29" s="523"/>
      <c r="DW29" s="523"/>
      <c r="DX29" s="523"/>
      <c r="DY29" s="523"/>
      <c r="DZ29" s="523"/>
      <c r="EA29" s="521"/>
    </row>
    <row r="30" spans="1:131" ht="39" x14ac:dyDescent="0.25">
      <c r="A30" s="543" t="s">
        <v>237</v>
      </c>
      <c r="B30" s="543" t="s">
        <v>238</v>
      </c>
      <c r="C30" s="551" t="s">
        <v>239</v>
      </c>
      <c r="D30" s="541" t="s">
        <v>177</v>
      </c>
      <c r="E30" s="543" t="s">
        <v>155</v>
      </c>
      <c r="F30" s="941">
        <f>19/64</f>
        <v>0.296875</v>
      </c>
      <c r="G30" s="941" t="s">
        <v>456</v>
      </c>
      <c r="H30" s="941">
        <f>44/70</f>
        <v>0.62857142857142856</v>
      </c>
      <c r="I30" s="543">
        <v>64</v>
      </c>
      <c r="J30" s="543">
        <v>10</v>
      </c>
      <c r="K30" s="543">
        <v>7</v>
      </c>
      <c r="L30" s="552">
        <v>17</v>
      </c>
      <c r="M30" s="546">
        <v>1.3860264975653318</v>
      </c>
      <c r="N30" s="541">
        <v>10</v>
      </c>
      <c r="O30" s="541">
        <v>2</v>
      </c>
      <c r="P30" s="541">
        <v>3</v>
      </c>
      <c r="Q30" s="541">
        <v>84</v>
      </c>
      <c r="R30" s="541">
        <v>35</v>
      </c>
      <c r="S30" s="541">
        <v>23</v>
      </c>
      <c r="T30" s="541">
        <v>94</v>
      </c>
      <c r="U30" s="544">
        <v>0.11904761904761904</v>
      </c>
      <c r="V30" s="544">
        <v>7.0422535211267609E-2</v>
      </c>
      <c r="W30" s="545">
        <v>735.91666666670005</v>
      </c>
      <c r="X30" s="545">
        <v>11.498697916667188</v>
      </c>
      <c r="Y30" s="545">
        <v>715.22</v>
      </c>
      <c r="Z30" s="545">
        <v>11.1753125</v>
      </c>
      <c r="AA30" s="545">
        <v>2286.61</v>
      </c>
      <c r="AB30" s="545">
        <v>35.728281250000002</v>
      </c>
      <c r="AC30" s="548">
        <v>0.23826132725703988</v>
      </c>
      <c r="AD30" s="547">
        <v>36.444444444444443</v>
      </c>
      <c r="AE30" s="540">
        <v>37</v>
      </c>
      <c r="AF30" s="541">
        <v>125</v>
      </c>
      <c r="AG30" s="541">
        <v>96</v>
      </c>
      <c r="AH30" s="541">
        <v>17</v>
      </c>
      <c r="AI30" s="541">
        <v>19</v>
      </c>
      <c r="AJ30" s="544">
        <v>0.55555555555555558</v>
      </c>
      <c r="AK30" s="544">
        <v>0.27777777777777779</v>
      </c>
      <c r="AL30" s="544">
        <v>0.83333333333333337</v>
      </c>
      <c r="AM30" s="541">
        <v>175</v>
      </c>
      <c r="AN30" s="548">
        <v>0.28641571194762683</v>
      </c>
      <c r="AO30" s="541">
        <v>186</v>
      </c>
      <c r="AP30" s="548">
        <v>0.30441898527004913</v>
      </c>
      <c r="AQ30" s="541">
        <v>250</v>
      </c>
      <c r="AR30" s="548">
        <v>0.40916530278232405</v>
      </c>
      <c r="AS30" s="548">
        <v>0.48476454293628807</v>
      </c>
      <c r="AT30" s="541">
        <v>4</v>
      </c>
      <c r="AU30" s="542">
        <v>-6.73</v>
      </c>
      <c r="AV30" s="553">
        <v>239</v>
      </c>
      <c r="AW30" s="553">
        <v>229</v>
      </c>
      <c r="AX30" s="553">
        <v>188</v>
      </c>
      <c r="AY30" s="548">
        <v>0.51068376068376065</v>
      </c>
      <c r="AZ30" s="549">
        <v>17.05</v>
      </c>
      <c r="BA30" s="554">
        <v>10</v>
      </c>
      <c r="BB30" s="553">
        <v>0.34400000000000003</v>
      </c>
      <c r="BC30" s="541">
        <v>7</v>
      </c>
      <c r="BD30" s="555">
        <v>-1.6</v>
      </c>
      <c r="BE30" s="545">
        <v>49.15</v>
      </c>
      <c r="BF30" s="549">
        <v>17.27</v>
      </c>
      <c r="BG30" s="555">
        <v>-0.65600000000000003</v>
      </c>
      <c r="BH30" s="555">
        <v>5.2069999999999999</v>
      </c>
      <c r="BI30" s="545">
        <v>52.55</v>
      </c>
      <c r="BJ30" s="548">
        <v>5.4878048780487805E-2</v>
      </c>
      <c r="BK30" s="556">
        <v>0.93617021276595747</v>
      </c>
      <c r="BL30" s="554">
        <v>991.04826154644525</v>
      </c>
      <c r="BM30" s="548">
        <v>-8.9517384535547292E-3</v>
      </c>
      <c r="BN30" s="549">
        <v>1.5100248874472189</v>
      </c>
      <c r="BO30" s="549">
        <v>1.5100248874472189</v>
      </c>
      <c r="BP30" s="545">
        <v>27.516009060149326</v>
      </c>
      <c r="BQ30" s="545">
        <v>23.657056570006432</v>
      </c>
      <c r="BR30" s="545">
        <v>50.166382371857608</v>
      </c>
      <c r="BS30" s="545">
        <v>48.656357484410393</v>
      </c>
      <c r="BT30" s="545">
        <v>1.5100248874472157</v>
      </c>
      <c r="BU30" s="541">
        <v>18</v>
      </c>
      <c r="BV30" s="541">
        <v>18</v>
      </c>
      <c r="BW30" s="554">
        <v>310</v>
      </c>
      <c r="BX30" s="554">
        <v>264</v>
      </c>
      <c r="BY30" s="554">
        <v>131</v>
      </c>
      <c r="BZ30" s="554">
        <v>134</v>
      </c>
      <c r="CA30" s="554">
        <v>164</v>
      </c>
      <c r="CB30" s="554">
        <v>139</v>
      </c>
      <c r="CC30" s="541">
        <v>296</v>
      </c>
      <c r="CD30" s="541">
        <v>292</v>
      </c>
      <c r="CE30" s="548">
        <v>0.50340136054421769</v>
      </c>
      <c r="CF30" s="542">
        <v>-5.34</v>
      </c>
      <c r="CG30" s="557">
        <v>-5.0213241430236977</v>
      </c>
      <c r="CH30" s="549">
        <v>3.5161221196443644</v>
      </c>
      <c r="CI30" s="549">
        <v>2.6239717310778841</v>
      </c>
      <c r="CJ30" s="549">
        <v>32.668448051919654</v>
      </c>
      <c r="CK30" s="549">
        <v>27.499223741696223</v>
      </c>
      <c r="CL30" s="549">
        <v>60.587507270588333</v>
      </c>
      <c r="CM30" s="549">
        <v>51.666003384923535</v>
      </c>
      <c r="CN30" s="545">
        <v>-7.4114789982175822</v>
      </c>
      <c r="CO30" s="554">
        <v>134</v>
      </c>
      <c r="CP30" s="554">
        <v>100</v>
      </c>
      <c r="CQ30" s="554">
        <v>1111</v>
      </c>
      <c r="CR30" s="554">
        <v>948</v>
      </c>
      <c r="CS30" s="554">
        <v>462</v>
      </c>
      <c r="CT30" s="554">
        <v>416</v>
      </c>
      <c r="CU30" s="554">
        <v>505</v>
      </c>
      <c r="CV30" s="554">
        <v>602</v>
      </c>
      <c r="CW30" s="541">
        <v>5</v>
      </c>
      <c r="CX30" s="541">
        <v>10</v>
      </c>
      <c r="CY30" s="554">
        <v>5</v>
      </c>
      <c r="CZ30" s="549">
        <v>0.40765485222509756</v>
      </c>
      <c r="DA30" s="549">
        <v>0.81530970445019513</v>
      </c>
      <c r="DB30" s="549">
        <v>0.40765485222509756</v>
      </c>
      <c r="DC30" s="543">
        <v>24</v>
      </c>
      <c r="DD30" s="543">
        <v>22</v>
      </c>
      <c r="DE30" s="550">
        <v>33.26</v>
      </c>
      <c r="DF30" s="550">
        <v>27.79</v>
      </c>
      <c r="DG30" s="550">
        <v>30.41</v>
      </c>
      <c r="DH30" s="550">
        <v>25.3</v>
      </c>
      <c r="DI30" s="543">
        <v>89</v>
      </c>
      <c r="DJ30" s="543">
        <v>108</v>
      </c>
      <c r="DK30" s="548">
        <v>0.45177664974619292</v>
      </c>
      <c r="DL30" s="554">
        <v>65</v>
      </c>
      <c r="DM30" s="554">
        <v>27</v>
      </c>
      <c r="DN30" s="543">
        <v>8</v>
      </c>
      <c r="DO30" s="543">
        <v>1</v>
      </c>
      <c r="DP30" s="543">
        <v>0.108</v>
      </c>
      <c r="DQ30" s="543">
        <v>0</v>
      </c>
      <c r="DR30" s="543">
        <v>0</v>
      </c>
      <c r="DS30" s="543">
        <v>0</v>
      </c>
      <c r="DT30" s="543">
        <v>59</v>
      </c>
      <c r="DU30" s="558">
        <v>33</v>
      </c>
      <c r="DV30" s="543">
        <v>0</v>
      </c>
      <c r="DW30" s="543">
        <v>7</v>
      </c>
      <c r="DX30" s="543">
        <v>-0.11900000000000001</v>
      </c>
      <c r="DY30" s="543">
        <v>0</v>
      </c>
      <c r="DZ30" s="543">
        <v>1</v>
      </c>
      <c r="EA30" s="543">
        <v>-1.7000000000000001E-2</v>
      </c>
    </row>
    <row r="31" spans="1:131" ht="26.25" x14ac:dyDescent="0.25">
      <c r="A31" s="562" t="s">
        <v>240</v>
      </c>
      <c r="B31" s="562" t="s">
        <v>241</v>
      </c>
      <c r="C31" s="570" t="s">
        <v>242</v>
      </c>
      <c r="D31" s="560" t="s">
        <v>243</v>
      </c>
      <c r="E31" s="562" t="s">
        <v>132</v>
      </c>
      <c r="F31" s="941">
        <f>18/54</f>
        <v>0.33333333333333331</v>
      </c>
      <c r="G31" s="941" t="s">
        <v>456</v>
      </c>
      <c r="H31" s="941">
        <f>29/42</f>
        <v>0.69047619047619047</v>
      </c>
      <c r="I31" s="562">
        <v>54</v>
      </c>
      <c r="J31" s="562">
        <v>10</v>
      </c>
      <c r="K31" s="562">
        <v>5</v>
      </c>
      <c r="L31" s="571">
        <v>15</v>
      </c>
      <c r="M31" s="565">
        <v>1.3466669991769697</v>
      </c>
      <c r="N31" s="560">
        <v>10</v>
      </c>
      <c r="O31" s="560">
        <v>2</v>
      </c>
      <c r="P31" s="560">
        <v>3</v>
      </c>
      <c r="Q31" s="560">
        <v>91</v>
      </c>
      <c r="R31" s="560">
        <v>43</v>
      </c>
      <c r="S31" s="560">
        <v>33</v>
      </c>
      <c r="T31" s="560">
        <v>98</v>
      </c>
      <c r="U31" s="563">
        <v>0.10989010989010989</v>
      </c>
      <c r="V31" s="563">
        <v>5.9880239520958084E-2</v>
      </c>
      <c r="W31" s="564">
        <v>668.31666666670003</v>
      </c>
      <c r="X31" s="564">
        <v>12.376234567901852</v>
      </c>
      <c r="Y31" s="564">
        <v>664.18</v>
      </c>
      <c r="Z31" s="564">
        <v>12.299629629629628</v>
      </c>
      <c r="AA31" s="564">
        <v>1942.52</v>
      </c>
      <c r="AB31" s="564">
        <v>35.972592592592591</v>
      </c>
      <c r="AC31" s="567">
        <v>0.25479725323205582</v>
      </c>
      <c r="AD31" s="566">
        <v>23.724137931034484</v>
      </c>
      <c r="AE31" s="559">
        <v>20</v>
      </c>
      <c r="AF31" s="560">
        <v>142</v>
      </c>
      <c r="AG31" s="560">
        <v>106</v>
      </c>
      <c r="AH31" s="560">
        <v>9</v>
      </c>
      <c r="AI31" s="560">
        <v>16</v>
      </c>
      <c r="AJ31" s="563">
        <v>0.34482758620689657</v>
      </c>
      <c r="AK31" s="563">
        <v>0.17241379310344829</v>
      </c>
      <c r="AL31" s="563">
        <v>0.51724137931034486</v>
      </c>
      <c r="AM31" s="560">
        <v>177</v>
      </c>
      <c r="AN31" s="567">
        <v>0.2945091514143095</v>
      </c>
      <c r="AO31" s="560">
        <v>201</v>
      </c>
      <c r="AP31" s="567">
        <v>0.33444259567387685</v>
      </c>
      <c r="AQ31" s="560">
        <v>223</v>
      </c>
      <c r="AR31" s="567">
        <v>0.37104825291181365</v>
      </c>
      <c r="AS31" s="567">
        <v>0.46825396825396826</v>
      </c>
      <c r="AT31" s="560">
        <v>7</v>
      </c>
      <c r="AU31" s="561">
        <v>-3.61</v>
      </c>
      <c r="AV31" s="572">
        <v>220</v>
      </c>
      <c r="AW31" s="572">
        <v>240</v>
      </c>
      <c r="AX31" s="572">
        <v>172</v>
      </c>
      <c r="AY31" s="567">
        <v>0.47826086956521741</v>
      </c>
      <c r="AZ31" s="568">
        <v>17.2</v>
      </c>
      <c r="BA31" s="573">
        <v>9</v>
      </c>
      <c r="BB31" s="572">
        <v>1.4E-2</v>
      </c>
      <c r="BC31" s="560">
        <v>10</v>
      </c>
      <c r="BD31" s="574">
        <v>-0.4</v>
      </c>
      <c r="BE31" s="564">
        <v>49.93</v>
      </c>
      <c r="BF31" s="568">
        <v>17.73</v>
      </c>
      <c r="BG31" s="574">
        <v>1.9239999999999999</v>
      </c>
      <c r="BH31" s="574">
        <v>4.9240000000000004</v>
      </c>
      <c r="BI31" s="564">
        <v>51.7</v>
      </c>
      <c r="BJ31" s="567">
        <v>8.4302325581395346E-2</v>
      </c>
      <c r="BK31" s="575">
        <v>0.91860465116279066</v>
      </c>
      <c r="BL31" s="573">
        <v>1002.9069767441861</v>
      </c>
      <c r="BM31" s="567">
        <v>2.90697674418601E-3</v>
      </c>
      <c r="BN31" s="568">
        <v>2.619771748622362</v>
      </c>
      <c r="BO31" s="568">
        <v>1.897076093829986</v>
      </c>
      <c r="BP31" s="564">
        <v>31.075913156072154</v>
      </c>
      <c r="BQ31" s="564">
        <v>23.306934867054114</v>
      </c>
      <c r="BR31" s="564">
        <v>56.189587160107202</v>
      </c>
      <c r="BS31" s="564">
        <v>45.078141467674428</v>
      </c>
      <c r="BT31" s="564">
        <v>11.111445692432774</v>
      </c>
      <c r="BU31" s="560">
        <v>29</v>
      </c>
      <c r="BV31" s="560">
        <v>21</v>
      </c>
      <c r="BW31" s="573">
        <v>315</v>
      </c>
      <c r="BX31" s="573">
        <v>237</v>
      </c>
      <c r="BY31" s="573">
        <v>142</v>
      </c>
      <c r="BZ31" s="573">
        <v>104</v>
      </c>
      <c r="CA31" s="573">
        <v>137</v>
      </c>
      <c r="CB31" s="573">
        <v>136</v>
      </c>
      <c r="CC31" s="560">
        <v>301</v>
      </c>
      <c r="CD31" s="560">
        <v>219</v>
      </c>
      <c r="CE31" s="567">
        <v>0.5788461538461539</v>
      </c>
      <c r="CF31" s="561">
        <v>5.57</v>
      </c>
      <c r="CG31" s="576">
        <v>6.4593504543375362</v>
      </c>
      <c r="CH31" s="568">
        <v>2.749006445236085</v>
      </c>
      <c r="CI31" s="568">
        <v>2.2548030393509459</v>
      </c>
      <c r="CJ31" s="568">
        <v>29.3124395115623</v>
      </c>
      <c r="CK31" s="568">
        <v>27.490064452360851</v>
      </c>
      <c r="CL31" s="568">
        <v>55.906760290756338</v>
      </c>
      <c r="CM31" s="568">
        <v>53.065090706916791</v>
      </c>
      <c r="CN31" s="564">
        <v>8.2697761085932271</v>
      </c>
      <c r="CO31" s="573">
        <v>89</v>
      </c>
      <c r="CP31" s="573">
        <v>73</v>
      </c>
      <c r="CQ31" s="573">
        <v>860</v>
      </c>
      <c r="CR31" s="573">
        <v>817</v>
      </c>
      <c r="CS31" s="573">
        <v>409</v>
      </c>
      <c r="CT31" s="573">
        <v>353</v>
      </c>
      <c r="CU31" s="573">
        <v>475</v>
      </c>
      <c r="CV31" s="573">
        <v>452</v>
      </c>
      <c r="CW31" s="560">
        <v>6</v>
      </c>
      <c r="CX31" s="560">
        <v>9</v>
      </c>
      <c r="CY31" s="573">
        <v>3</v>
      </c>
      <c r="CZ31" s="568">
        <v>0.5386667996707879</v>
      </c>
      <c r="DA31" s="568">
        <v>0.80800019950618174</v>
      </c>
      <c r="DB31" s="568">
        <v>0.26933339983539395</v>
      </c>
      <c r="DC31" s="562">
        <v>26</v>
      </c>
      <c r="DD31" s="562">
        <v>20</v>
      </c>
      <c r="DE31" s="569">
        <v>24.54</v>
      </c>
      <c r="DF31" s="569">
        <v>23.77</v>
      </c>
      <c r="DG31" s="569">
        <v>25.1</v>
      </c>
      <c r="DH31" s="569">
        <v>23.77</v>
      </c>
      <c r="DI31" s="562">
        <v>1</v>
      </c>
      <c r="DJ31" s="562">
        <v>3</v>
      </c>
      <c r="DK31" s="567">
        <v>0.25</v>
      </c>
      <c r="DL31" s="573">
        <v>2</v>
      </c>
      <c r="DM31" s="573">
        <v>0</v>
      </c>
      <c r="DN31" s="562">
        <v>0</v>
      </c>
      <c r="DO31" s="562">
        <v>0</v>
      </c>
      <c r="DP31" s="562">
        <v>0</v>
      </c>
      <c r="DQ31" s="562">
        <v>0</v>
      </c>
      <c r="DR31" s="562">
        <v>0</v>
      </c>
      <c r="DS31" s="562">
        <v>0</v>
      </c>
      <c r="DT31" s="560"/>
      <c r="DU31" s="573"/>
      <c r="DV31" s="560"/>
      <c r="DW31" s="560"/>
      <c r="DX31" s="560"/>
      <c r="DY31" s="560"/>
      <c r="DZ31" s="560"/>
      <c r="EA31" s="562"/>
    </row>
    <row r="32" spans="1:131" ht="39" x14ac:dyDescent="0.25">
      <c r="A32" s="580" t="s">
        <v>244</v>
      </c>
      <c r="B32" s="580" t="s">
        <v>245</v>
      </c>
      <c r="C32" s="588" t="s">
        <v>246</v>
      </c>
      <c r="D32" s="578" t="s">
        <v>136</v>
      </c>
      <c r="E32" s="580" t="s">
        <v>155</v>
      </c>
      <c r="F32" s="941">
        <f>18/48</f>
        <v>0.375</v>
      </c>
      <c r="G32" s="941" t="s">
        <v>456</v>
      </c>
      <c r="H32" s="941">
        <f>46/52</f>
        <v>0.88461538461538458</v>
      </c>
      <c r="I32" s="580">
        <v>48</v>
      </c>
      <c r="J32" s="580">
        <v>7</v>
      </c>
      <c r="K32" s="580">
        <v>9</v>
      </c>
      <c r="L32" s="589">
        <v>16</v>
      </c>
      <c r="M32" s="583">
        <v>1.6694684366124672</v>
      </c>
      <c r="N32" s="578">
        <v>7</v>
      </c>
      <c r="O32" s="578">
        <v>5</v>
      </c>
      <c r="P32" s="578">
        <v>4</v>
      </c>
      <c r="Q32" s="578">
        <v>57</v>
      </c>
      <c r="R32" s="578">
        <v>16</v>
      </c>
      <c r="S32" s="578">
        <v>34</v>
      </c>
      <c r="T32" s="578">
        <v>68</v>
      </c>
      <c r="U32" s="581">
        <v>0.12280701754385964</v>
      </c>
      <c r="V32" s="581">
        <v>6.5420560747663545E-2</v>
      </c>
      <c r="W32" s="582">
        <v>575.03333333329999</v>
      </c>
      <c r="X32" s="582">
        <v>11.979861111110417</v>
      </c>
      <c r="Y32" s="582">
        <v>554.95000000000005</v>
      </c>
      <c r="Z32" s="582">
        <v>11.561458333333334</v>
      </c>
      <c r="AA32" s="582">
        <v>1798.35</v>
      </c>
      <c r="AB32" s="582">
        <v>37.465624999999996</v>
      </c>
      <c r="AC32" s="585">
        <v>0.23581778778736245</v>
      </c>
      <c r="AD32" s="584">
        <v>49.782608695652172</v>
      </c>
      <c r="AE32" s="577">
        <v>22</v>
      </c>
      <c r="AF32" s="578">
        <v>43</v>
      </c>
      <c r="AG32" s="578">
        <v>45</v>
      </c>
      <c r="AH32" s="578">
        <v>16</v>
      </c>
      <c r="AI32" s="578">
        <v>26</v>
      </c>
      <c r="AJ32" s="581">
        <v>0.30434782608695654</v>
      </c>
      <c r="AK32" s="581">
        <v>0.39130434782608697</v>
      </c>
      <c r="AL32" s="581">
        <v>0.69565217391304346</v>
      </c>
      <c r="AM32" s="578">
        <v>176</v>
      </c>
      <c r="AN32" s="585">
        <v>0.33846153846153848</v>
      </c>
      <c r="AO32" s="578">
        <v>157</v>
      </c>
      <c r="AP32" s="585">
        <v>0.30192307692307691</v>
      </c>
      <c r="AQ32" s="578">
        <v>187</v>
      </c>
      <c r="AR32" s="585">
        <v>0.35961538461538461</v>
      </c>
      <c r="AS32" s="585">
        <v>0.5285285285285285</v>
      </c>
      <c r="AT32" s="578">
        <v>12</v>
      </c>
      <c r="AU32" s="579">
        <v>8.5</v>
      </c>
      <c r="AV32" s="590">
        <v>208</v>
      </c>
      <c r="AW32" s="590">
        <v>225</v>
      </c>
      <c r="AX32" s="590">
        <v>155</v>
      </c>
      <c r="AY32" s="585">
        <v>0.48036951501154734</v>
      </c>
      <c r="AZ32" s="586">
        <v>17.12</v>
      </c>
      <c r="BA32" s="591">
        <v>11</v>
      </c>
      <c r="BB32" s="590">
        <v>0.252</v>
      </c>
      <c r="BC32" s="578">
        <v>7</v>
      </c>
      <c r="BD32" s="592">
        <v>0.75800000000000001</v>
      </c>
      <c r="BE32" s="582">
        <v>50.26</v>
      </c>
      <c r="BF32" s="586">
        <v>17.7</v>
      </c>
      <c r="BG32" s="592">
        <v>0.307</v>
      </c>
      <c r="BH32" s="592">
        <v>-11.147</v>
      </c>
      <c r="BI32" s="582">
        <v>45.71</v>
      </c>
      <c r="BJ32" s="585">
        <v>0.10043668122270742</v>
      </c>
      <c r="BK32" s="593">
        <v>0.89925373134328357</v>
      </c>
      <c r="BL32" s="591">
        <v>999.69041256599098</v>
      </c>
      <c r="BM32" s="585">
        <v>-3.0958743400900934E-4</v>
      </c>
      <c r="BN32" s="586">
        <v>2.4867105144607624</v>
      </c>
      <c r="BO32" s="586">
        <v>2.919181908280025</v>
      </c>
      <c r="BP32" s="582">
        <v>24.758987296152803</v>
      </c>
      <c r="BQ32" s="582">
        <v>28.975583385890619</v>
      </c>
      <c r="BR32" s="582">
        <v>46.7069105324804</v>
      </c>
      <c r="BS32" s="582">
        <v>67.357419587350208</v>
      </c>
      <c r="BT32" s="582">
        <v>-20.650509054869808</v>
      </c>
      <c r="BU32" s="578">
        <v>23</v>
      </c>
      <c r="BV32" s="578">
        <v>27</v>
      </c>
      <c r="BW32" s="591">
        <v>206</v>
      </c>
      <c r="BX32" s="591">
        <v>241</v>
      </c>
      <c r="BY32" s="591">
        <v>88</v>
      </c>
      <c r="BZ32" s="591">
        <v>140</v>
      </c>
      <c r="CA32" s="591">
        <v>215</v>
      </c>
      <c r="CB32" s="591">
        <v>115</v>
      </c>
      <c r="CC32" s="578">
        <v>223</v>
      </c>
      <c r="CD32" s="578">
        <v>286</v>
      </c>
      <c r="CE32" s="585">
        <v>0.43811394891944988</v>
      </c>
      <c r="CF32" s="579">
        <v>-1.39</v>
      </c>
      <c r="CG32" s="594">
        <v>-9.5201937395544896</v>
      </c>
      <c r="CH32" s="586">
        <v>2.3354741846692804</v>
      </c>
      <c r="CI32" s="586">
        <v>2.4355659354408208</v>
      </c>
      <c r="CJ32" s="586">
        <v>25.523396446742847</v>
      </c>
      <c r="CK32" s="586">
        <v>29.727249979147551</v>
      </c>
      <c r="CL32" s="586">
        <v>52.514805238134961</v>
      </c>
      <c r="CM32" s="586">
        <v>62.824255567603636</v>
      </c>
      <c r="CN32" s="582">
        <v>-10.341058725401133</v>
      </c>
      <c r="CO32" s="591">
        <v>70</v>
      </c>
      <c r="CP32" s="591">
        <v>73</v>
      </c>
      <c r="CQ32" s="591">
        <v>695</v>
      </c>
      <c r="CR32" s="591">
        <v>818</v>
      </c>
      <c r="CS32" s="591">
        <v>322</v>
      </c>
      <c r="CT32" s="591">
        <v>392</v>
      </c>
      <c r="CU32" s="591">
        <v>600</v>
      </c>
      <c r="CV32" s="591">
        <v>487</v>
      </c>
      <c r="CW32" s="578">
        <v>4</v>
      </c>
      <c r="CX32" s="578">
        <v>7</v>
      </c>
      <c r="CY32" s="591">
        <v>3</v>
      </c>
      <c r="CZ32" s="586">
        <v>0.41736710915311681</v>
      </c>
      <c r="DA32" s="586">
        <v>0.73039244101795431</v>
      </c>
      <c r="DB32" s="586">
        <v>0.31302533186483755</v>
      </c>
      <c r="DC32" s="580">
        <v>19</v>
      </c>
      <c r="DD32" s="580">
        <v>24</v>
      </c>
      <c r="DE32" s="587">
        <v>21.31</v>
      </c>
      <c r="DF32" s="587">
        <v>20.84</v>
      </c>
      <c r="DG32" s="587">
        <v>18.79</v>
      </c>
      <c r="DH32" s="587">
        <v>21.77</v>
      </c>
      <c r="DI32" s="580">
        <v>174</v>
      </c>
      <c r="DJ32" s="580">
        <v>303</v>
      </c>
      <c r="DK32" s="585">
        <v>0.36477987421383645</v>
      </c>
      <c r="DL32" s="591">
        <v>148</v>
      </c>
      <c r="DM32" s="591">
        <v>53</v>
      </c>
      <c r="DN32" s="580">
        <v>18</v>
      </c>
      <c r="DO32" s="580">
        <v>3</v>
      </c>
      <c r="DP32" s="580">
        <v>0.10100000000000001</v>
      </c>
      <c r="DQ32" s="580">
        <v>1</v>
      </c>
      <c r="DR32" s="580">
        <v>0</v>
      </c>
      <c r="DS32" s="580">
        <v>7.0000000000000001E-3</v>
      </c>
      <c r="DT32" s="580">
        <v>140</v>
      </c>
      <c r="DU32" s="595">
        <v>49</v>
      </c>
      <c r="DV32" s="580">
        <v>3</v>
      </c>
      <c r="DW32" s="580">
        <v>24</v>
      </c>
      <c r="DX32" s="580">
        <v>-0.15</v>
      </c>
      <c r="DY32" s="580">
        <v>1</v>
      </c>
      <c r="DZ32" s="580">
        <v>2</v>
      </c>
      <c r="EA32" s="580">
        <v>-7.0000000000000001E-3</v>
      </c>
    </row>
    <row r="33" spans="1:131" ht="26.25" x14ac:dyDescent="0.25">
      <c r="A33" s="599" t="s">
        <v>247</v>
      </c>
      <c r="B33" s="599" t="s">
        <v>248</v>
      </c>
      <c r="C33" s="607" t="s">
        <v>249</v>
      </c>
      <c r="D33" s="599" t="s">
        <v>185</v>
      </c>
      <c r="E33" s="599" t="s">
        <v>155</v>
      </c>
      <c r="F33" s="941">
        <f>18/29</f>
        <v>0.62068965517241381</v>
      </c>
      <c r="G33" s="941" t="s">
        <v>456</v>
      </c>
      <c r="H33" s="941">
        <f>46/49</f>
        <v>0.93877551020408168</v>
      </c>
      <c r="I33" s="599">
        <v>29</v>
      </c>
      <c r="J33" s="599">
        <v>5</v>
      </c>
      <c r="K33" s="599">
        <v>8</v>
      </c>
      <c r="L33" s="608">
        <v>13</v>
      </c>
      <c r="M33" s="602">
        <v>2.3015638831513723</v>
      </c>
      <c r="N33" s="597">
        <v>3</v>
      </c>
      <c r="O33" s="597">
        <v>4</v>
      </c>
      <c r="P33" s="597">
        <v>4</v>
      </c>
      <c r="Q33" s="597">
        <v>42</v>
      </c>
      <c r="R33" s="597">
        <v>12</v>
      </c>
      <c r="S33" s="597">
        <v>10</v>
      </c>
      <c r="T33" s="597">
        <v>35</v>
      </c>
      <c r="U33" s="600">
        <v>0.11904761904761904</v>
      </c>
      <c r="V33" s="600">
        <v>7.8125E-2</v>
      </c>
      <c r="W33" s="601">
        <v>338.9</v>
      </c>
      <c r="X33" s="601">
        <v>11.686206896551724</v>
      </c>
      <c r="Y33" s="601">
        <v>323.89999999999998</v>
      </c>
      <c r="Z33" s="601">
        <v>11.168965517241379</v>
      </c>
      <c r="AA33" s="601">
        <v>1085.3</v>
      </c>
      <c r="AB33" s="601">
        <v>37.42413793103448</v>
      </c>
      <c r="AC33" s="604">
        <v>0.22984672154413854</v>
      </c>
      <c r="AD33" s="603">
        <v>56.666666666666664</v>
      </c>
      <c r="AE33" s="596">
        <v>4</v>
      </c>
      <c r="AF33" s="597">
        <v>14</v>
      </c>
      <c r="AG33" s="597">
        <v>14</v>
      </c>
      <c r="AH33" s="597">
        <v>6</v>
      </c>
      <c r="AI33" s="597">
        <v>8</v>
      </c>
      <c r="AJ33" s="600">
        <v>0.41666666666666669</v>
      </c>
      <c r="AK33" s="600">
        <v>0.66666666666666663</v>
      </c>
      <c r="AL33" s="600">
        <v>1.0833333333333333</v>
      </c>
      <c r="AM33" s="597">
        <v>113</v>
      </c>
      <c r="AN33" s="604">
        <v>0.40070921985815605</v>
      </c>
      <c r="AO33" s="597">
        <v>86</v>
      </c>
      <c r="AP33" s="604">
        <v>0.30496453900709219</v>
      </c>
      <c r="AQ33" s="597">
        <v>83</v>
      </c>
      <c r="AR33" s="604">
        <v>0.29432624113475175</v>
      </c>
      <c r="AS33" s="604">
        <v>0.56783919597989951</v>
      </c>
      <c r="AT33" s="597">
        <v>14</v>
      </c>
      <c r="AU33" s="598">
        <v>12.28</v>
      </c>
      <c r="AV33" s="609">
        <v>131</v>
      </c>
      <c r="AW33" s="609">
        <v>108</v>
      </c>
      <c r="AX33" s="609">
        <v>84</v>
      </c>
      <c r="AY33" s="604">
        <v>0.54811715481171552</v>
      </c>
      <c r="AZ33" s="605">
        <v>16.920000000000002</v>
      </c>
      <c r="BA33" s="610">
        <v>15</v>
      </c>
      <c r="BB33" s="609">
        <v>-0.17300000000000001</v>
      </c>
      <c r="BC33" s="597">
        <v>11</v>
      </c>
      <c r="BD33" s="611">
        <v>-0.48599999999999999</v>
      </c>
      <c r="BE33" s="601">
        <v>49.83</v>
      </c>
      <c r="BF33" s="605">
        <v>17.57</v>
      </c>
      <c r="BG33" s="611">
        <v>1.4410000000000001</v>
      </c>
      <c r="BH33" s="611">
        <v>4.3559999999999999</v>
      </c>
      <c r="BI33" s="601">
        <v>51.67</v>
      </c>
      <c r="BJ33" s="604">
        <v>7.0588235294117646E-2</v>
      </c>
      <c r="BK33" s="612">
        <v>0.94174757281553401</v>
      </c>
      <c r="BL33" s="610">
        <v>1012.3358081096517</v>
      </c>
      <c r="BM33" s="604">
        <v>1.2335808109651653E-2</v>
      </c>
      <c r="BN33" s="605">
        <v>2.2229083050324179</v>
      </c>
      <c r="BO33" s="605">
        <v>2.2229083050324179</v>
      </c>
      <c r="BP33" s="601">
        <v>31.491200987959253</v>
      </c>
      <c r="BQ33" s="601">
        <v>38.159925903056497</v>
      </c>
      <c r="BR33" s="601">
        <v>59.64803951836987</v>
      </c>
      <c r="BS33" s="601">
        <v>59.092312442111769</v>
      </c>
      <c r="BT33" s="601">
        <v>0.55572707625810125</v>
      </c>
      <c r="BU33" s="597">
        <v>12</v>
      </c>
      <c r="BV33" s="597">
        <v>12</v>
      </c>
      <c r="BW33" s="610">
        <v>158</v>
      </c>
      <c r="BX33" s="610">
        <v>194</v>
      </c>
      <c r="BY33" s="610">
        <v>73</v>
      </c>
      <c r="BZ33" s="610">
        <v>52</v>
      </c>
      <c r="CA33" s="610">
        <v>61</v>
      </c>
      <c r="CB33" s="610">
        <v>79</v>
      </c>
      <c r="CC33" s="597">
        <v>152</v>
      </c>
      <c r="CD33" s="597">
        <v>156</v>
      </c>
      <c r="CE33" s="604">
        <v>0.4935064935064935</v>
      </c>
      <c r="CF33" s="598">
        <v>-3.85</v>
      </c>
      <c r="CG33" s="613">
        <v>-6.0044136272594857</v>
      </c>
      <c r="CH33" s="605">
        <v>1.6032433428545103</v>
      </c>
      <c r="CI33" s="605">
        <v>1.8243803556620291</v>
      </c>
      <c r="CJ33" s="605">
        <v>29.411222703399982</v>
      </c>
      <c r="CK33" s="605">
        <v>26.868147056113518</v>
      </c>
      <c r="CL33" s="605">
        <v>53.625725605823277</v>
      </c>
      <c r="CM33" s="605">
        <v>50.529807426518019</v>
      </c>
      <c r="CN33" s="601">
        <v>-2.5401911030471567</v>
      </c>
      <c r="CO33" s="610">
        <v>29</v>
      </c>
      <c r="CP33" s="610">
        <v>33</v>
      </c>
      <c r="CQ33" s="610">
        <v>503</v>
      </c>
      <c r="CR33" s="610">
        <v>453</v>
      </c>
      <c r="CS33" s="610">
        <v>175</v>
      </c>
      <c r="CT33" s="610">
        <v>203</v>
      </c>
      <c r="CU33" s="610">
        <v>225</v>
      </c>
      <c r="CV33" s="610">
        <v>263</v>
      </c>
      <c r="CW33" s="597">
        <v>0</v>
      </c>
      <c r="CX33" s="597">
        <v>2</v>
      </c>
      <c r="CY33" s="610">
        <v>2</v>
      </c>
      <c r="CZ33" s="605">
        <v>0</v>
      </c>
      <c r="DA33" s="605">
        <v>0.35408675125405725</v>
      </c>
      <c r="DB33" s="605">
        <v>0.35408675125405725</v>
      </c>
      <c r="DC33" s="599">
        <v>12</v>
      </c>
      <c r="DD33" s="599">
        <v>15</v>
      </c>
      <c r="DE33" s="606">
        <v>11.84</v>
      </c>
      <c r="DF33" s="606">
        <v>10.14</v>
      </c>
      <c r="DG33" s="606">
        <v>11.57</v>
      </c>
      <c r="DH33" s="606">
        <v>10.99</v>
      </c>
      <c r="DI33" s="599">
        <v>95</v>
      </c>
      <c r="DJ33" s="599">
        <v>117</v>
      </c>
      <c r="DK33" s="604">
        <v>0.44811320754716982</v>
      </c>
      <c r="DL33" s="610">
        <v>101</v>
      </c>
      <c r="DM33" s="610">
        <v>48</v>
      </c>
      <c r="DN33" s="599">
        <v>20</v>
      </c>
      <c r="DO33" s="599">
        <v>3</v>
      </c>
      <c r="DP33" s="599">
        <v>0.16800000000000001</v>
      </c>
      <c r="DQ33" s="599">
        <v>0</v>
      </c>
      <c r="DR33" s="599">
        <v>1</v>
      </c>
      <c r="DS33" s="599">
        <v>-0.01</v>
      </c>
      <c r="DT33" s="599">
        <v>26</v>
      </c>
      <c r="DU33" s="614">
        <v>9</v>
      </c>
      <c r="DV33" s="599">
        <v>0</v>
      </c>
      <c r="DW33" s="599">
        <v>5</v>
      </c>
      <c r="DX33" s="599">
        <v>-0.192</v>
      </c>
      <c r="DY33" s="599">
        <v>0</v>
      </c>
      <c r="DZ33" s="599">
        <v>0</v>
      </c>
      <c r="EA33" s="599">
        <v>0</v>
      </c>
    </row>
    <row r="34" spans="1:131" ht="26.25" x14ac:dyDescent="0.25">
      <c r="A34" s="618" t="s">
        <v>250</v>
      </c>
      <c r="B34" s="618" t="s">
        <v>251</v>
      </c>
      <c r="C34" s="626" t="s">
        <v>252</v>
      </c>
      <c r="D34" s="616" t="s">
        <v>141</v>
      </c>
      <c r="E34" s="618" t="s">
        <v>155</v>
      </c>
      <c r="F34" s="941">
        <f>18/74</f>
        <v>0.24324324324324326</v>
      </c>
      <c r="G34" s="941" t="s">
        <v>456</v>
      </c>
      <c r="H34" s="941">
        <f>45/63</f>
        <v>0.7142857142857143</v>
      </c>
      <c r="I34" s="618">
        <v>74</v>
      </c>
      <c r="J34" s="618">
        <v>7</v>
      </c>
      <c r="K34" s="618">
        <v>10</v>
      </c>
      <c r="L34" s="627">
        <v>17</v>
      </c>
      <c r="M34" s="621">
        <v>1.2379892788509663</v>
      </c>
      <c r="N34" s="616">
        <v>7</v>
      </c>
      <c r="O34" s="616">
        <v>5</v>
      </c>
      <c r="P34" s="616">
        <v>5</v>
      </c>
      <c r="Q34" s="616">
        <v>90</v>
      </c>
      <c r="R34" s="616">
        <v>39</v>
      </c>
      <c r="S34" s="616">
        <v>42</v>
      </c>
      <c r="T34" s="616">
        <v>109</v>
      </c>
      <c r="U34" s="619">
        <v>7.7777777777777779E-2</v>
      </c>
      <c r="V34" s="619">
        <v>4.0935672514619881E-2</v>
      </c>
      <c r="W34" s="620">
        <v>823.91666666670005</v>
      </c>
      <c r="X34" s="620">
        <v>11.134009009009461</v>
      </c>
      <c r="Y34" s="620">
        <v>807.52</v>
      </c>
      <c r="Z34" s="620">
        <v>10.912432432432432</v>
      </c>
      <c r="AA34" s="620">
        <v>2764.12</v>
      </c>
      <c r="AB34" s="620">
        <v>37.352972972972971</v>
      </c>
      <c r="AC34" s="623">
        <v>0.22609221534085183</v>
      </c>
      <c r="AD34" s="622">
        <v>76.111111111111114</v>
      </c>
      <c r="AE34" s="615">
        <v>16</v>
      </c>
      <c r="AF34" s="616">
        <v>30</v>
      </c>
      <c r="AG34" s="616">
        <v>77</v>
      </c>
      <c r="AH34" s="616">
        <v>9</v>
      </c>
      <c r="AI34" s="616">
        <v>16</v>
      </c>
      <c r="AJ34" s="619">
        <v>0.25925925925925924</v>
      </c>
      <c r="AK34" s="619">
        <v>0.37037037037037035</v>
      </c>
      <c r="AL34" s="619">
        <v>0.62962962962962954</v>
      </c>
      <c r="AM34" s="616">
        <v>287</v>
      </c>
      <c r="AN34" s="623">
        <v>0.35475896168108778</v>
      </c>
      <c r="AO34" s="616">
        <v>227</v>
      </c>
      <c r="AP34" s="623">
        <v>0.28059332509270707</v>
      </c>
      <c r="AQ34" s="616">
        <v>295</v>
      </c>
      <c r="AR34" s="623">
        <v>0.36464771322620521</v>
      </c>
      <c r="AS34" s="623">
        <v>0.55836575875486383</v>
      </c>
      <c r="AT34" s="616">
        <v>9</v>
      </c>
      <c r="AU34" s="617">
        <v>6.89</v>
      </c>
      <c r="AV34" s="628">
        <v>296</v>
      </c>
      <c r="AW34" s="628">
        <v>277</v>
      </c>
      <c r="AX34" s="628">
        <v>237</v>
      </c>
      <c r="AY34" s="623">
        <v>0.51657940663176261</v>
      </c>
      <c r="AZ34" s="624">
        <v>17.13</v>
      </c>
      <c r="BA34" s="629">
        <v>14</v>
      </c>
      <c r="BB34" s="628">
        <v>0.128</v>
      </c>
      <c r="BC34" s="616">
        <v>12</v>
      </c>
      <c r="BD34" s="630">
        <v>0.33800000000000002</v>
      </c>
      <c r="BE34" s="620">
        <v>49.93</v>
      </c>
      <c r="BF34" s="624">
        <v>17.489999999999998</v>
      </c>
      <c r="BG34" s="630">
        <v>-0.59899999999999998</v>
      </c>
      <c r="BH34" s="630">
        <v>4.5910000000000002</v>
      </c>
      <c r="BI34" s="620">
        <v>51.57</v>
      </c>
      <c r="BJ34" s="623">
        <v>6.569343065693431E-2</v>
      </c>
      <c r="BK34" s="631">
        <v>0.92469879518072284</v>
      </c>
      <c r="BL34" s="629">
        <v>990.39222583765718</v>
      </c>
      <c r="BM34" s="623">
        <v>-9.607774162342847E-3</v>
      </c>
      <c r="BN34" s="624">
        <v>2.0061422627303349</v>
      </c>
      <c r="BO34" s="624">
        <v>1.8575391321577175</v>
      </c>
      <c r="BP34" s="620">
        <v>30.537943332672878</v>
      </c>
      <c r="BQ34" s="620">
        <v>24.668119675054488</v>
      </c>
      <c r="BR34" s="620">
        <v>55.5032692688726</v>
      </c>
      <c r="BS34" s="620">
        <v>47.404398652664945</v>
      </c>
      <c r="BT34" s="620">
        <v>8.0988706162076554</v>
      </c>
      <c r="BU34" s="616">
        <v>27</v>
      </c>
      <c r="BV34" s="616">
        <v>25</v>
      </c>
      <c r="BW34" s="629">
        <v>384</v>
      </c>
      <c r="BX34" s="629">
        <v>307</v>
      </c>
      <c r="BY34" s="629">
        <v>153</v>
      </c>
      <c r="BZ34" s="629">
        <v>123</v>
      </c>
      <c r="CA34" s="629">
        <v>183</v>
      </c>
      <c r="CB34" s="629">
        <v>183</v>
      </c>
      <c r="CC34" s="616">
        <v>349</v>
      </c>
      <c r="CD34" s="616">
        <v>269</v>
      </c>
      <c r="CE34" s="623">
        <v>0.56472491909385114</v>
      </c>
      <c r="CF34" s="617">
        <v>3.68</v>
      </c>
      <c r="CG34" s="632">
        <v>2.3550924060909235</v>
      </c>
      <c r="CH34" s="624">
        <v>2.8652880482757626</v>
      </c>
      <c r="CI34" s="624">
        <v>2.3660333125913491</v>
      </c>
      <c r="CJ34" s="624">
        <v>31.995716539079343</v>
      </c>
      <c r="CK34" s="624">
        <v>29.347495767188111</v>
      </c>
      <c r="CL34" s="624">
        <v>59.693501005745048</v>
      </c>
      <c r="CM34" s="624">
        <v>55.61263620971593</v>
      </c>
      <c r="CN34" s="620">
        <v>4.0180058201785371</v>
      </c>
      <c r="CO34" s="629">
        <v>132</v>
      </c>
      <c r="CP34" s="629">
        <v>109</v>
      </c>
      <c r="CQ34" s="629">
        <v>1342</v>
      </c>
      <c r="CR34" s="629">
        <v>1243</v>
      </c>
      <c r="CS34" s="629">
        <v>556</v>
      </c>
      <c r="CT34" s="629">
        <v>523</v>
      </c>
      <c r="CU34" s="629">
        <v>687</v>
      </c>
      <c r="CV34" s="629">
        <v>720</v>
      </c>
      <c r="CW34" s="616">
        <v>8</v>
      </c>
      <c r="CX34" s="616">
        <v>11</v>
      </c>
      <c r="CY34" s="629">
        <v>3</v>
      </c>
      <c r="CZ34" s="624">
        <v>0.58258319004751358</v>
      </c>
      <c r="DA34" s="624">
        <v>0.8010518863153312</v>
      </c>
      <c r="DB34" s="624">
        <v>0.21846869626781759</v>
      </c>
      <c r="DC34" s="618">
        <v>31</v>
      </c>
      <c r="DD34" s="618">
        <v>23</v>
      </c>
      <c r="DE34" s="625">
        <v>33.130000000000003</v>
      </c>
      <c r="DF34" s="625">
        <v>25.94</v>
      </c>
      <c r="DG34" s="625">
        <v>30.07</v>
      </c>
      <c r="DH34" s="625">
        <v>27.41</v>
      </c>
      <c r="DI34" s="618">
        <v>283</v>
      </c>
      <c r="DJ34" s="618">
        <v>319</v>
      </c>
      <c r="DK34" s="623">
        <v>0.4700996677740864</v>
      </c>
      <c r="DL34" s="629">
        <v>182</v>
      </c>
      <c r="DM34" s="629">
        <v>86</v>
      </c>
      <c r="DN34" s="618">
        <v>36</v>
      </c>
      <c r="DO34" s="618">
        <v>0</v>
      </c>
      <c r="DP34" s="618">
        <v>0.19800000000000001</v>
      </c>
      <c r="DQ34" s="618">
        <v>1</v>
      </c>
      <c r="DR34" s="618">
        <v>0</v>
      </c>
      <c r="DS34" s="618">
        <v>5.0000000000000001E-3</v>
      </c>
      <c r="DT34" s="618">
        <v>146</v>
      </c>
      <c r="DU34" s="633">
        <v>68</v>
      </c>
      <c r="DV34" s="618">
        <v>3</v>
      </c>
      <c r="DW34" s="618">
        <v>16</v>
      </c>
      <c r="DX34" s="618">
        <v>-8.8999999999999996E-2</v>
      </c>
      <c r="DY34" s="618">
        <v>0</v>
      </c>
      <c r="DZ34" s="618">
        <v>2</v>
      </c>
      <c r="EA34" s="618">
        <v>-1.4E-2</v>
      </c>
    </row>
    <row r="35" spans="1:131" ht="26.25" x14ac:dyDescent="0.25">
      <c r="A35" s="637" t="s">
        <v>253</v>
      </c>
      <c r="B35" s="637" t="s">
        <v>254</v>
      </c>
      <c r="C35" s="645" t="s">
        <v>255</v>
      </c>
      <c r="D35" s="635" t="s">
        <v>256</v>
      </c>
      <c r="E35" s="637" t="s">
        <v>160</v>
      </c>
      <c r="F35" s="941">
        <f>17/51</f>
        <v>0.33333333333333331</v>
      </c>
      <c r="G35" s="941" t="s">
        <v>462</v>
      </c>
      <c r="H35" s="941">
        <f>61/64</f>
        <v>0.953125</v>
      </c>
      <c r="I35" s="637">
        <v>51</v>
      </c>
      <c r="J35" s="637">
        <v>5</v>
      </c>
      <c r="K35" s="637">
        <v>5</v>
      </c>
      <c r="L35" s="646">
        <v>10</v>
      </c>
      <c r="M35" s="640">
        <v>0.62475053364110245</v>
      </c>
      <c r="N35" s="635">
        <v>4</v>
      </c>
      <c r="O35" s="635">
        <v>0</v>
      </c>
      <c r="P35" s="635">
        <v>4</v>
      </c>
      <c r="Q35" s="635">
        <v>69</v>
      </c>
      <c r="R35" s="635">
        <v>36</v>
      </c>
      <c r="S35" s="635">
        <v>52</v>
      </c>
      <c r="T35" s="635">
        <v>28</v>
      </c>
      <c r="U35" s="638">
        <v>7.2463768115942032E-2</v>
      </c>
      <c r="V35" s="638">
        <v>3.1847133757961783E-2</v>
      </c>
      <c r="W35" s="639">
        <v>960.38333333330002</v>
      </c>
      <c r="X35" s="639">
        <v>18.831045751633333</v>
      </c>
      <c r="Y35" s="639">
        <v>895.27</v>
      </c>
      <c r="Z35" s="639">
        <v>17.554313725490196</v>
      </c>
      <c r="AA35" s="639">
        <v>1550.46</v>
      </c>
      <c r="AB35" s="639">
        <v>30.401176470588236</v>
      </c>
      <c r="AC35" s="642">
        <v>0.36605430689405621</v>
      </c>
      <c r="AD35" s="641">
        <v>0</v>
      </c>
      <c r="AE35" s="634">
        <v>31</v>
      </c>
      <c r="AF35" s="635">
        <v>18</v>
      </c>
      <c r="AG35" s="635">
        <v>26</v>
      </c>
      <c r="AH35" s="635">
        <v>31</v>
      </c>
      <c r="AI35" s="635">
        <v>11</v>
      </c>
      <c r="AJ35" s="638">
        <v>0.21739130434782608</v>
      </c>
      <c r="AK35" s="638">
        <v>0.17391304347826086</v>
      </c>
      <c r="AL35" s="638">
        <v>0.39130434782608692</v>
      </c>
      <c r="AM35" s="635">
        <v>239</v>
      </c>
      <c r="AN35" s="642">
        <v>0.28217237308146398</v>
      </c>
      <c r="AO35" s="635">
        <v>294</v>
      </c>
      <c r="AP35" s="642">
        <v>0.34710743801652894</v>
      </c>
      <c r="AQ35" s="635">
        <v>314</v>
      </c>
      <c r="AR35" s="642">
        <v>0.37072018890200709</v>
      </c>
      <c r="AS35" s="642">
        <v>0.44840525328330205</v>
      </c>
      <c r="AT35" s="635">
        <v>6</v>
      </c>
      <c r="AU35" s="636">
        <v>-3.68</v>
      </c>
      <c r="AV35" s="647">
        <v>310</v>
      </c>
      <c r="AW35" s="647">
        <v>317</v>
      </c>
      <c r="AX35" s="647">
        <v>276</v>
      </c>
      <c r="AY35" s="642">
        <v>0.49441786283891548</v>
      </c>
      <c r="AZ35" s="643">
        <v>17.420000000000002</v>
      </c>
      <c r="BA35" s="648">
        <v>3</v>
      </c>
      <c r="BB35" s="647">
        <v>0.38400000000000001</v>
      </c>
      <c r="BC35" s="635">
        <v>3</v>
      </c>
      <c r="BD35" s="649">
        <v>0.99399999999999999</v>
      </c>
      <c r="BE35" s="639">
        <v>50.1</v>
      </c>
      <c r="BF35" s="643">
        <v>16.79</v>
      </c>
      <c r="BG35" s="649">
        <v>-6.0000000000000001E-3</v>
      </c>
      <c r="BH35" s="649">
        <v>-4.9930000000000003</v>
      </c>
      <c r="BI35" s="639">
        <v>50.47</v>
      </c>
      <c r="BJ35" s="642">
        <v>5.721393034825871E-2</v>
      </c>
      <c r="BK35" s="650">
        <v>0.92740046838407497</v>
      </c>
      <c r="BL35" s="648">
        <v>984.61439873233371</v>
      </c>
      <c r="BM35" s="642">
        <v>-1.5385601267666318E-2</v>
      </c>
      <c r="BN35" s="643">
        <v>1.5414344276028462</v>
      </c>
      <c r="BO35" s="643">
        <v>2.07758553285601</v>
      </c>
      <c r="BP35" s="639">
        <v>26.941593038971483</v>
      </c>
      <c r="BQ35" s="639">
        <v>28.617065242887623</v>
      </c>
      <c r="BR35" s="639">
        <v>50.934354999050569</v>
      </c>
      <c r="BS35" s="639">
        <v>50.197147229327463</v>
      </c>
      <c r="BT35" s="639">
        <v>0.73720776972310631</v>
      </c>
      <c r="BU35" s="635">
        <v>23</v>
      </c>
      <c r="BV35" s="635">
        <v>31</v>
      </c>
      <c r="BW35" s="648">
        <v>379</v>
      </c>
      <c r="BX35" s="648">
        <v>396</v>
      </c>
      <c r="BY35" s="648">
        <v>160</v>
      </c>
      <c r="BZ35" s="648">
        <v>159</v>
      </c>
      <c r="CA35" s="648">
        <v>163</v>
      </c>
      <c r="CB35" s="648">
        <v>198</v>
      </c>
      <c r="CC35" s="635">
        <v>340</v>
      </c>
      <c r="CD35" s="635">
        <v>376</v>
      </c>
      <c r="CE35" s="642">
        <v>0.47486033519553073</v>
      </c>
      <c r="CF35" s="636">
        <v>-1.65</v>
      </c>
      <c r="CG35" s="651">
        <v>7.8724816909238555</v>
      </c>
      <c r="CH35" s="643">
        <v>1.9736078325142217</v>
      </c>
      <c r="CI35" s="643">
        <v>2.1284006036918077</v>
      </c>
      <c r="CJ35" s="643">
        <v>25.927789172245653</v>
      </c>
      <c r="CK35" s="643">
        <v>30.378081343601252</v>
      </c>
      <c r="CL35" s="643">
        <v>48.798421113733987</v>
      </c>
      <c r="CM35" s="643">
        <v>52.706938585968039</v>
      </c>
      <c r="CN35" s="639">
        <v>4.6457252419571589</v>
      </c>
      <c r="CO35" s="648">
        <v>51</v>
      </c>
      <c r="CP35" s="648">
        <v>55</v>
      </c>
      <c r="CQ35" s="648">
        <v>619</v>
      </c>
      <c r="CR35" s="648">
        <v>730</v>
      </c>
      <c r="CS35" s="648">
        <v>264</v>
      </c>
      <c r="CT35" s="648">
        <v>261</v>
      </c>
      <c r="CU35" s="648">
        <v>316</v>
      </c>
      <c r="CV35" s="648">
        <v>327</v>
      </c>
      <c r="CW35" s="635">
        <v>9</v>
      </c>
      <c r="CX35" s="635">
        <v>1</v>
      </c>
      <c r="CY35" s="648">
        <v>-8</v>
      </c>
      <c r="CZ35" s="643">
        <v>0.56227548027699226</v>
      </c>
      <c r="DA35" s="643">
        <v>6.2475053364110245E-2</v>
      </c>
      <c r="DB35" s="643">
        <v>-0.49980042691288196</v>
      </c>
      <c r="DC35" s="637">
        <v>30</v>
      </c>
      <c r="DD35" s="637">
        <v>32</v>
      </c>
      <c r="DE35" s="644">
        <v>26.67</v>
      </c>
      <c r="DF35" s="644">
        <v>26.52</v>
      </c>
      <c r="DG35" s="644">
        <v>29.07</v>
      </c>
      <c r="DH35" s="644">
        <v>31.91</v>
      </c>
      <c r="DI35" s="635"/>
      <c r="DJ35" s="635"/>
      <c r="DK35" s="642" t="s">
        <v>161</v>
      </c>
      <c r="DL35" s="648"/>
      <c r="DM35" s="648"/>
      <c r="DN35" s="635"/>
      <c r="DO35" s="635"/>
      <c r="DP35" s="635"/>
      <c r="DQ35" s="635"/>
      <c r="DR35" s="635"/>
      <c r="DS35" s="635"/>
      <c r="DT35" s="635"/>
      <c r="DU35" s="648"/>
      <c r="DV35" s="635"/>
      <c r="DW35" s="635"/>
      <c r="DX35" s="635"/>
      <c r="DY35" s="635"/>
      <c r="DZ35" s="635"/>
      <c r="EA35" s="637"/>
    </row>
    <row r="36" spans="1:131" ht="26.25" x14ac:dyDescent="0.25">
      <c r="A36" s="655" t="s">
        <v>257</v>
      </c>
      <c r="B36" s="655" t="s">
        <v>258</v>
      </c>
      <c r="C36" s="663" t="s">
        <v>259</v>
      </c>
      <c r="D36" s="653" t="s">
        <v>260</v>
      </c>
      <c r="E36" s="655" t="s">
        <v>137</v>
      </c>
      <c r="F36" s="941">
        <f>16/42</f>
        <v>0.38095238095238093</v>
      </c>
      <c r="G36" s="941" t="s">
        <v>456</v>
      </c>
      <c r="H36" s="941">
        <f>32/41</f>
        <v>0.78048780487804881</v>
      </c>
      <c r="I36" s="655">
        <v>42</v>
      </c>
      <c r="J36" s="655">
        <v>11</v>
      </c>
      <c r="K36" s="655">
        <v>4</v>
      </c>
      <c r="L36" s="664">
        <v>15</v>
      </c>
      <c r="M36" s="658">
        <v>1.8924791476833327</v>
      </c>
      <c r="N36" s="653">
        <v>10</v>
      </c>
      <c r="O36" s="653">
        <v>2</v>
      </c>
      <c r="P36" s="653">
        <v>2</v>
      </c>
      <c r="Q36" s="653">
        <v>58</v>
      </c>
      <c r="R36" s="653">
        <v>31</v>
      </c>
      <c r="S36" s="653">
        <v>23</v>
      </c>
      <c r="T36" s="653">
        <v>64</v>
      </c>
      <c r="U36" s="656">
        <v>0.18965517241379309</v>
      </c>
      <c r="V36" s="656">
        <v>9.8214285714285712E-2</v>
      </c>
      <c r="W36" s="657">
        <v>475.56666666669997</v>
      </c>
      <c r="X36" s="657">
        <v>11.323015873016667</v>
      </c>
      <c r="Y36" s="657">
        <v>459.13</v>
      </c>
      <c r="Z36" s="657">
        <v>10.931666666666667</v>
      </c>
      <c r="AA36" s="657">
        <v>1531.48</v>
      </c>
      <c r="AB36" s="657">
        <v>36.463809523809523</v>
      </c>
      <c r="AC36" s="660">
        <v>0.2306478918522463</v>
      </c>
      <c r="AD36" s="659">
        <v>22.25</v>
      </c>
      <c r="AE36" s="652">
        <v>9</v>
      </c>
      <c r="AF36" s="653">
        <v>45</v>
      </c>
      <c r="AG36" s="653">
        <v>41</v>
      </c>
      <c r="AH36" s="653">
        <v>14</v>
      </c>
      <c r="AI36" s="653">
        <v>17</v>
      </c>
      <c r="AJ36" s="656">
        <v>0.45833333333333331</v>
      </c>
      <c r="AK36" s="656">
        <v>0.16666666666666666</v>
      </c>
      <c r="AL36" s="656">
        <v>0.625</v>
      </c>
      <c r="AM36" s="653">
        <v>175</v>
      </c>
      <c r="AN36" s="660">
        <v>0.35714285714285715</v>
      </c>
      <c r="AO36" s="653">
        <v>143</v>
      </c>
      <c r="AP36" s="660">
        <v>0.29183673469387755</v>
      </c>
      <c r="AQ36" s="653">
        <v>172</v>
      </c>
      <c r="AR36" s="660">
        <v>0.3510204081632653</v>
      </c>
      <c r="AS36" s="660">
        <v>0.55031446540880502</v>
      </c>
      <c r="AT36" s="653">
        <v>9</v>
      </c>
      <c r="AU36" s="654">
        <v>0.16</v>
      </c>
      <c r="AV36" s="665">
        <v>205</v>
      </c>
      <c r="AW36" s="665">
        <v>162</v>
      </c>
      <c r="AX36" s="665">
        <v>162</v>
      </c>
      <c r="AY36" s="660">
        <v>0.55858310626703001</v>
      </c>
      <c r="AZ36" s="661">
        <v>17.38</v>
      </c>
      <c r="BA36" s="666">
        <v>7</v>
      </c>
      <c r="BB36" s="665">
        <v>-4.3999999999999997E-2</v>
      </c>
      <c r="BC36" s="653">
        <v>10</v>
      </c>
      <c r="BD36" s="667">
        <v>-0.66600000000000004</v>
      </c>
      <c r="BE36" s="657">
        <v>49.6</v>
      </c>
      <c r="BF36" s="661">
        <v>17.78</v>
      </c>
      <c r="BG36" s="667">
        <v>1.409</v>
      </c>
      <c r="BH36" s="667">
        <v>11.173</v>
      </c>
      <c r="BI36" s="657">
        <v>54.65</v>
      </c>
      <c r="BJ36" s="660">
        <v>8.98876404494382E-2</v>
      </c>
      <c r="BK36" s="668">
        <v>0.94930875576036866</v>
      </c>
      <c r="BL36" s="666">
        <v>1039.1963962098068</v>
      </c>
      <c r="BM36" s="660">
        <v>3.9196396209806861E-2</v>
      </c>
      <c r="BN36" s="661">
        <v>3.1363666064077713</v>
      </c>
      <c r="BO36" s="661">
        <v>1.4375013612702285</v>
      </c>
      <c r="BP36" s="657">
        <v>34.892078496286459</v>
      </c>
      <c r="BQ36" s="657">
        <v>28.357981399603599</v>
      </c>
      <c r="BR36" s="657">
        <v>65.994380676496846</v>
      </c>
      <c r="BS36" s="657">
        <v>52.01141288959554</v>
      </c>
      <c r="BT36" s="657">
        <v>13.982967786901305</v>
      </c>
      <c r="BU36" s="653">
        <v>24</v>
      </c>
      <c r="BV36" s="653">
        <v>11</v>
      </c>
      <c r="BW36" s="666">
        <v>243</v>
      </c>
      <c r="BX36" s="666">
        <v>206</v>
      </c>
      <c r="BY36" s="666">
        <v>130</v>
      </c>
      <c r="BZ36" s="666">
        <v>102</v>
      </c>
      <c r="CA36" s="666">
        <v>79</v>
      </c>
      <c r="CB36" s="666">
        <v>108</v>
      </c>
      <c r="CC36" s="653">
        <v>241</v>
      </c>
      <c r="CD36" s="653">
        <v>183</v>
      </c>
      <c r="CE36" s="660">
        <v>0.56839622641509435</v>
      </c>
      <c r="CF36" s="654">
        <v>5.31</v>
      </c>
      <c r="CG36" s="669">
        <v>0.84642061708998462</v>
      </c>
      <c r="CH36" s="661">
        <v>2.1156005955023898</v>
      </c>
      <c r="CI36" s="661">
        <v>2.3898451171415882</v>
      </c>
      <c r="CJ36" s="661">
        <v>30.088541802700654</v>
      </c>
      <c r="CK36" s="661">
        <v>27.306918797503066</v>
      </c>
      <c r="CL36" s="661">
        <v>58.531616475566118</v>
      </c>
      <c r="CM36" s="661">
        <v>50.500169770418154</v>
      </c>
      <c r="CN36" s="657">
        <v>5.9515210817533415</v>
      </c>
      <c r="CO36" s="666">
        <v>54</v>
      </c>
      <c r="CP36" s="666">
        <v>61</v>
      </c>
      <c r="CQ36" s="666">
        <v>714</v>
      </c>
      <c r="CR36" s="666">
        <v>636</v>
      </c>
      <c r="CS36" s="666">
        <v>340</v>
      </c>
      <c r="CT36" s="666">
        <v>296</v>
      </c>
      <c r="CU36" s="666">
        <v>296</v>
      </c>
      <c r="CV36" s="666">
        <v>386</v>
      </c>
      <c r="CW36" s="653">
        <v>7</v>
      </c>
      <c r="CX36" s="653">
        <v>5</v>
      </c>
      <c r="CY36" s="666">
        <v>-2</v>
      </c>
      <c r="CZ36" s="661">
        <v>0.88315693558555519</v>
      </c>
      <c r="DA36" s="661">
        <v>0.63082638256111079</v>
      </c>
      <c r="DB36" s="661">
        <v>-0.25233055302444435</v>
      </c>
      <c r="DC36" s="655">
        <v>20</v>
      </c>
      <c r="DD36" s="655">
        <v>16</v>
      </c>
      <c r="DE36" s="662">
        <v>17.73</v>
      </c>
      <c r="DF36" s="662">
        <v>16.04</v>
      </c>
      <c r="DG36" s="662">
        <v>18.03</v>
      </c>
      <c r="DH36" s="662">
        <v>15.74</v>
      </c>
      <c r="DI36" s="655">
        <v>5</v>
      </c>
      <c r="DJ36" s="655">
        <v>2</v>
      </c>
      <c r="DK36" s="660">
        <v>0.7142857142857143</v>
      </c>
      <c r="DL36" s="666">
        <v>3</v>
      </c>
      <c r="DM36" s="666">
        <v>3</v>
      </c>
      <c r="DN36" s="655">
        <v>0</v>
      </c>
      <c r="DO36" s="655">
        <v>0</v>
      </c>
      <c r="DP36" s="655">
        <v>0</v>
      </c>
      <c r="DQ36" s="655">
        <v>0</v>
      </c>
      <c r="DR36" s="655">
        <v>0</v>
      </c>
      <c r="DS36" s="655">
        <v>0</v>
      </c>
      <c r="DT36" s="655">
        <v>2</v>
      </c>
      <c r="DU36" s="670">
        <v>0</v>
      </c>
      <c r="DV36" s="655">
        <v>0</v>
      </c>
      <c r="DW36" s="655">
        <v>0</v>
      </c>
      <c r="DX36" s="655">
        <v>0</v>
      </c>
      <c r="DY36" s="655">
        <v>0</v>
      </c>
      <c r="DZ36" s="655">
        <v>0</v>
      </c>
      <c r="EA36" s="655">
        <v>0</v>
      </c>
    </row>
    <row r="37" spans="1:131" ht="39" x14ac:dyDescent="0.25">
      <c r="A37" s="674" t="s">
        <v>261</v>
      </c>
      <c r="B37" s="674" t="s">
        <v>262</v>
      </c>
      <c r="C37" s="682" t="s">
        <v>263</v>
      </c>
      <c r="D37" s="672" t="s">
        <v>177</v>
      </c>
      <c r="E37" s="674" t="s">
        <v>155</v>
      </c>
      <c r="F37" s="941">
        <f>16/43</f>
        <v>0.37209302325581395</v>
      </c>
      <c r="G37" s="941" t="s">
        <v>456</v>
      </c>
      <c r="H37" s="941">
        <f>48/56</f>
        <v>0.8571428571428571</v>
      </c>
      <c r="I37" s="674">
        <v>43</v>
      </c>
      <c r="J37" s="674">
        <v>8</v>
      </c>
      <c r="K37" s="674">
        <v>6</v>
      </c>
      <c r="L37" s="683">
        <v>14</v>
      </c>
      <c r="M37" s="677">
        <v>1.814777473714402</v>
      </c>
      <c r="N37" s="672">
        <v>8</v>
      </c>
      <c r="O37" s="672">
        <v>3</v>
      </c>
      <c r="P37" s="672">
        <v>3</v>
      </c>
      <c r="Q37" s="672">
        <v>42</v>
      </c>
      <c r="R37" s="672">
        <v>12</v>
      </c>
      <c r="S37" s="672">
        <v>11</v>
      </c>
      <c r="T37" s="672">
        <v>54</v>
      </c>
      <c r="U37" s="675">
        <v>0.19047619047619047</v>
      </c>
      <c r="V37" s="675">
        <v>0.12307692307692308</v>
      </c>
      <c r="W37" s="676">
        <v>462.86666666669998</v>
      </c>
      <c r="X37" s="676">
        <v>10.764341085272093</v>
      </c>
      <c r="Y37" s="676">
        <v>440.43</v>
      </c>
      <c r="Z37" s="676">
        <v>10.242558139534884</v>
      </c>
      <c r="AA37" s="676">
        <v>1591.22</v>
      </c>
      <c r="AB37" s="676">
        <v>37.005116279069767</v>
      </c>
      <c r="AC37" s="679">
        <v>0.21678438707454531</v>
      </c>
      <c r="AD37" s="678">
        <v>33</v>
      </c>
      <c r="AE37" s="671">
        <v>11</v>
      </c>
      <c r="AF37" s="672">
        <v>39</v>
      </c>
      <c r="AG37" s="672">
        <v>52</v>
      </c>
      <c r="AH37" s="672">
        <v>7</v>
      </c>
      <c r="AI37" s="672">
        <v>15</v>
      </c>
      <c r="AJ37" s="675">
        <v>0.44444444444444442</v>
      </c>
      <c r="AK37" s="675">
        <v>0.33333333333333331</v>
      </c>
      <c r="AL37" s="675">
        <v>0.77777777777777768</v>
      </c>
      <c r="AM37" s="672">
        <v>123</v>
      </c>
      <c r="AN37" s="679">
        <v>0.31948051948051948</v>
      </c>
      <c r="AO37" s="672">
        <v>110</v>
      </c>
      <c r="AP37" s="679">
        <v>0.2857142857142857</v>
      </c>
      <c r="AQ37" s="672">
        <v>152</v>
      </c>
      <c r="AR37" s="679">
        <v>0.39480519480519483</v>
      </c>
      <c r="AS37" s="679">
        <v>0.52789699570815452</v>
      </c>
      <c r="AT37" s="672">
        <v>5</v>
      </c>
      <c r="AU37" s="673">
        <v>-0.79</v>
      </c>
      <c r="AV37" s="684">
        <v>151</v>
      </c>
      <c r="AW37" s="684">
        <v>143</v>
      </c>
      <c r="AX37" s="684">
        <v>157</v>
      </c>
      <c r="AY37" s="679">
        <v>0.51360544217687076</v>
      </c>
      <c r="AZ37" s="680">
        <v>17.239999999999998</v>
      </c>
      <c r="BA37" s="685">
        <v>8</v>
      </c>
      <c r="BB37" s="684">
        <v>0.94</v>
      </c>
      <c r="BC37" s="672">
        <v>1</v>
      </c>
      <c r="BD37" s="686">
        <v>-0.10100000000000001</v>
      </c>
      <c r="BE37" s="676">
        <v>50.01</v>
      </c>
      <c r="BF37" s="680">
        <v>17.309999999999999</v>
      </c>
      <c r="BG37" s="686">
        <v>-0.52100000000000002</v>
      </c>
      <c r="BH37" s="686">
        <v>5.0869999999999997</v>
      </c>
      <c r="BI37" s="676">
        <v>51.87</v>
      </c>
      <c r="BJ37" s="679">
        <v>9.0909090909090912E-2</v>
      </c>
      <c r="BK37" s="687">
        <v>0.9211822660098522</v>
      </c>
      <c r="BL37" s="685">
        <v>1012.0913569189431</v>
      </c>
      <c r="BM37" s="679">
        <v>1.2091356918943114E-2</v>
      </c>
      <c r="BN37" s="680">
        <v>2.4521490361691982</v>
      </c>
      <c r="BO37" s="680">
        <v>2.1796880321503984</v>
      </c>
      <c r="BP37" s="676">
        <v>26.973639397861181</v>
      </c>
      <c r="BQ37" s="676">
        <v>27.65479190790818</v>
      </c>
      <c r="BR37" s="676">
        <v>49.724133233430969</v>
      </c>
      <c r="BS37" s="676">
        <v>51.358899257543762</v>
      </c>
      <c r="BT37" s="676">
        <v>-1.6347660241127926</v>
      </c>
      <c r="BU37" s="672">
        <v>18</v>
      </c>
      <c r="BV37" s="672">
        <v>16</v>
      </c>
      <c r="BW37" s="685">
        <v>180</v>
      </c>
      <c r="BX37" s="685">
        <v>187</v>
      </c>
      <c r="BY37" s="685">
        <v>73</v>
      </c>
      <c r="BZ37" s="685">
        <v>79</v>
      </c>
      <c r="CA37" s="685">
        <v>95</v>
      </c>
      <c r="CB37" s="685">
        <v>94</v>
      </c>
      <c r="CC37" s="672">
        <v>202</v>
      </c>
      <c r="CD37" s="672">
        <v>193</v>
      </c>
      <c r="CE37" s="679">
        <v>0.51139240506329109</v>
      </c>
      <c r="CF37" s="673">
        <v>-0.89</v>
      </c>
      <c r="CG37" s="688">
        <v>-7.5822939211085005</v>
      </c>
      <c r="CH37" s="680">
        <v>2.9034325863174169</v>
      </c>
      <c r="CI37" s="680">
        <v>2.2624150023252598</v>
      </c>
      <c r="CJ37" s="680">
        <v>31.145913198677743</v>
      </c>
      <c r="CK37" s="680">
        <v>27.450635361546485</v>
      </c>
      <c r="CL37" s="680">
        <v>55.504581390379705</v>
      </c>
      <c r="CM37" s="680">
        <v>51.847010469953872</v>
      </c>
      <c r="CN37" s="676">
        <v>-5.2923369445386257</v>
      </c>
      <c r="CO37" s="685">
        <v>77</v>
      </c>
      <c r="CP37" s="685">
        <v>60</v>
      </c>
      <c r="CQ37" s="685">
        <v>749</v>
      </c>
      <c r="CR37" s="685">
        <v>668</v>
      </c>
      <c r="CS37" s="685">
        <v>276</v>
      </c>
      <c r="CT37" s="685">
        <v>274</v>
      </c>
      <c r="CU37" s="685">
        <v>373</v>
      </c>
      <c r="CV37" s="685">
        <v>370</v>
      </c>
      <c r="CW37" s="672">
        <v>4</v>
      </c>
      <c r="CX37" s="672">
        <v>7</v>
      </c>
      <c r="CY37" s="685">
        <v>3</v>
      </c>
      <c r="CZ37" s="680">
        <v>0.51850784963268626</v>
      </c>
      <c r="DA37" s="680">
        <v>0.90738873685720101</v>
      </c>
      <c r="DB37" s="680">
        <v>0.38888088722451469</v>
      </c>
      <c r="DC37" s="674">
        <v>17</v>
      </c>
      <c r="DD37" s="674">
        <v>15</v>
      </c>
      <c r="DE37" s="681">
        <v>22.62</v>
      </c>
      <c r="DF37" s="681">
        <v>16.12</v>
      </c>
      <c r="DG37" s="681">
        <v>19.52</v>
      </c>
      <c r="DH37" s="681">
        <v>15.97</v>
      </c>
      <c r="DI37" s="674">
        <v>61</v>
      </c>
      <c r="DJ37" s="674">
        <v>70</v>
      </c>
      <c r="DK37" s="679">
        <v>0.46564885496183206</v>
      </c>
      <c r="DL37" s="685">
        <v>35</v>
      </c>
      <c r="DM37" s="685">
        <v>18</v>
      </c>
      <c r="DN37" s="674">
        <v>4</v>
      </c>
      <c r="DO37" s="674">
        <v>0</v>
      </c>
      <c r="DP37" s="674">
        <v>0.114</v>
      </c>
      <c r="DQ37" s="674">
        <v>1</v>
      </c>
      <c r="DR37" s="674">
        <v>0</v>
      </c>
      <c r="DS37" s="674">
        <v>2.9000000000000001E-2</v>
      </c>
      <c r="DT37" s="674">
        <v>24</v>
      </c>
      <c r="DU37" s="689">
        <v>9</v>
      </c>
      <c r="DV37" s="674">
        <v>1</v>
      </c>
      <c r="DW37" s="674">
        <v>6</v>
      </c>
      <c r="DX37" s="674">
        <v>-0.20800000000000002</v>
      </c>
      <c r="DY37" s="674">
        <v>0</v>
      </c>
      <c r="DZ37" s="674">
        <v>1</v>
      </c>
      <c r="EA37" s="674">
        <v>-4.2000000000000003E-2</v>
      </c>
    </row>
    <row r="38" spans="1:131" ht="39" x14ac:dyDescent="0.25">
      <c r="A38" s="693" t="s">
        <v>264</v>
      </c>
      <c r="B38" s="693" t="s">
        <v>265</v>
      </c>
      <c r="C38" s="701" t="s">
        <v>266</v>
      </c>
      <c r="D38" s="691" t="s">
        <v>267</v>
      </c>
      <c r="E38" s="693" t="s">
        <v>160</v>
      </c>
      <c r="F38" s="941">
        <f>16/58</f>
        <v>0.27586206896551724</v>
      </c>
      <c r="G38" s="941" t="s">
        <v>462</v>
      </c>
      <c r="H38" s="941">
        <f>24/26</f>
        <v>0.92307692307692313</v>
      </c>
      <c r="I38" s="693">
        <v>58</v>
      </c>
      <c r="J38" s="693">
        <v>6</v>
      </c>
      <c r="K38" s="693">
        <v>4</v>
      </c>
      <c r="L38" s="702">
        <v>10</v>
      </c>
      <c r="M38" s="696">
        <v>0.78995874659882348</v>
      </c>
      <c r="N38" s="691">
        <v>5</v>
      </c>
      <c r="O38" s="691">
        <v>2</v>
      </c>
      <c r="P38" s="691">
        <v>2</v>
      </c>
      <c r="Q38" s="691">
        <v>57</v>
      </c>
      <c r="R38" s="691">
        <v>28</v>
      </c>
      <c r="S38" s="691">
        <v>52</v>
      </c>
      <c r="T38" s="691">
        <v>33</v>
      </c>
      <c r="U38" s="694">
        <v>0.10526315789473684</v>
      </c>
      <c r="V38" s="694">
        <v>4.3795620437956206E-2</v>
      </c>
      <c r="W38" s="695">
        <v>759.53333333329999</v>
      </c>
      <c r="X38" s="695">
        <v>13.095402298850001</v>
      </c>
      <c r="Y38" s="695">
        <v>738.03</v>
      </c>
      <c r="Z38" s="695">
        <v>12.724655172413792</v>
      </c>
      <c r="AA38" s="695">
        <v>2069.63</v>
      </c>
      <c r="AB38" s="695">
        <v>35.683275862068967</v>
      </c>
      <c r="AC38" s="698">
        <v>0.262863024725216</v>
      </c>
      <c r="AD38" s="697">
        <v>18</v>
      </c>
      <c r="AE38" s="690">
        <v>45</v>
      </c>
      <c r="AF38" s="691">
        <v>37</v>
      </c>
      <c r="AG38" s="691">
        <v>53</v>
      </c>
      <c r="AH38" s="691">
        <v>24</v>
      </c>
      <c r="AI38" s="691">
        <v>8</v>
      </c>
      <c r="AJ38" s="694">
        <v>0.15</v>
      </c>
      <c r="AK38" s="694">
        <v>0.1</v>
      </c>
      <c r="AL38" s="694">
        <v>0.25</v>
      </c>
      <c r="AM38" s="691">
        <v>272</v>
      </c>
      <c r="AN38" s="698">
        <v>0.43106180665610144</v>
      </c>
      <c r="AO38" s="691">
        <v>190</v>
      </c>
      <c r="AP38" s="698">
        <v>0.3011093502377179</v>
      </c>
      <c r="AQ38" s="691">
        <v>169</v>
      </c>
      <c r="AR38" s="698">
        <v>0.26782884310618066</v>
      </c>
      <c r="AS38" s="698">
        <v>0.58874458874458879</v>
      </c>
      <c r="AT38" s="691">
        <v>8</v>
      </c>
      <c r="AU38" s="692">
        <v>12.43</v>
      </c>
      <c r="AV38" s="703">
        <v>270</v>
      </c>
      <c r="AW38" s="703">
        <v>292</v>
      </c>
      <c r="AX38" s="703">
        <v>223</v>
      </c>
      <c r="AY38" s="698">
        <v>0.4804270462633452</v>
      </c>
      <c r="AZ38" s="699">
        <v>17.02</v>
      </c>
      <c r="BA38" s="704">
        <v>7</v>
      </c>
      <c r="BB38" s="703">
        <v>-0.753</v>
      </c>
      <c r="BC38" s="691">
        <v>8</v>
      </c>
      <c r="BD38" s="705">
        <v>-1.39</v>
      </c>
      <c r="BE38" s="695">
        <v>49.3</v>
      </c>
      <c r="BF38" s="699">
        <v>16.41</v>
      </c>
      <c r="BG38" s="705">
        <v>-0.77100000000000002</v>
      </c>
      <c r="BH38" s="705">
        <v>0.80900000000000005</v>
      </c>
      <c r="BI38" s="695">
        <v>50.19</v>
      </c>
      <c r="BJ38" s="698">
        <v>0.1111111111111111</v>
      </c>
      <c r="BK38" s="706">
        <v>0.92024539877300615</v>
      </c>
      <c r="BL38" s="704">
        <v>1031.3565098841173</v>
      </c>
      <c r="BM38" s="698">
        <v>3.1356509884117256E-2</v>
      </c>
      <c r="BN38" s="699">
        <v>3.2519003292549082</v>
      </c>
      <c r="BO38" s="699">
        <v>2.1137352140156906</v>
      </c>
      <c r="BP38" s="695">
        <v>29.267102963294175</v>
      </c>
      <c r="BQ38" s="695">
        <v>26.502987683427502</v>
      </c>
      <c r="BR38" s="695">
        <v>55.526198122027566</v>
      </c>
      <c r="BS38" s="695">
        <v>50.48575261168245</v>
      </c>
      <c r="BT38" s="695">
        <v>5.0404455103451156</v>
      </c>
      <c r="BU38" s="691">
        <v>40</v>
      </c>
      <c r="BV38" s="691">
        <v>26</v>
      </c>
      <c r="BW38" s="704">
        <v>320</v>
      </c>
      <c r="BX38" s="704">
        <v>300</v>
      </c>
      <c r="BY38" s="704">
        <v>144</v>
      </c>
      <c r="BZ38" s="704">
        <v>105</v>
      </c>
      <c r="CA38" s="704">
        <v>190</v>
      </c>
      <c r="CB38" s="704">
        <v>179</v>
      </c>
      <c r="CC38" s="691">
        <v>319</v>
      </c>
      <c r="CD38" s="691">
        <v>284</v>
      </c>
      <c r="CE38" s="698">
        <v>0.52902155887230518</v>
      </c>
      <c r="CF38" s="692">
        <v>0.27</v>
      </c>
      <c r="CG38" s="707">
        <v>0.62157538047498484</v>
      </c>
      <c r="CH38" s="699">
        <v>2.8410875373859095</v>
      </c>
      <c r="CI38" s="699">
        <v>1.7684320385769436</v>
      </c>
      <c r="CJ38" s="699">
        <v>30.295270169064036</v>
      </c>
      <c r="CK38" s="699">
        <v>27.367210564207127</v>
      </c>
      <c r="CL38" s="699">
        <v>54.908365263356252</v>
      </c>
      <c r="CM38" s="699">
        <v>54.705430439257256</v>
      </c>
      <c r="CN38" s="695">
        <v>4.8375106862461195</v>
      </c>
      <c r="CO38" s="704">
        <v>98</v>
      </c>
      <c r="CP38" s="704">
        <v>61</v>
      </c>
      <c r="CQ38" s="704">
        <v>947</v>
      </c>
      <c r="CR38" s="704">
        <v>883</v>
      </c>
      <c r="CS38" s="704">
        <v>398</v>
      </c>
      <c r="CT38" s="704">
        <v>415</v>
      </c>
      <c r="CU38" s="704">
        <v>528</v>
      </c>
      <c r="CV38" s="704">
        <v>451</v>
      </c>
      <c r="CW38" s="691">
        <v>5</v>
      </c>
      <c r="CX38" s="691">
        <v>6</v>
      </c>
      <c r="CY38" s="704">
        <v>1</v>
      </c>
      <c r="CZ38" s="699">
        <v>0.39497937329941174</v>
      </c>
      <c r="DA38" s="699">
        <v>0.47397524795929402</v>
      </c>
      <c r="DB38" s="699">
        <v>7.8995874659882337E-2</v>
      </c>
      <c r="DC38" s="693">
        <v>27</v>
      </c>
      <c r="DD38" s="693">
        <v>25</v>
      </c>
      <c r="DE38" s="700">
        <v>28.18</v>
      </c>
      <c r="DF38" s="700">
        <v>27.32</v>
      </c>
      <c r="DG38" s="700">
        <v>27.81</v>
      </c>
      <c r="DH38" s="700">
        <v>23.91</v>
      </c>
      <c r="DI38" s="691"/>
      <c r="DJ38" s="691"/>
      <c r="DK38" s="698" t="s">
        <v>161</v>
      </c>
      <c r="DL38" s="704"/>
      <c r="DM38" s="704"/>
      <c r="DN38" s="691"/>
      <c r="DO38" s="691"/>
      <c r="DP38" s="691"/>
      <c r="DQ38" s="691"/>
      <c r="DR38" s="691"/>
      <c r="DS38" s="691"/>
      <c r="DT38" s="691"/>
      <c r="DU38" s="704"/>
      <c r="DV38" s="691"/>
      <c r="DW38" s="691"/>
      <c r="DX38" s="691"/>
      <c r="DY38" s="691"/>
      <c r="DZ38" s="691"/>
      <c r="EA38" s="693"/>
    </row>
    <row r="39" spans="1:131" ht="26.25" x14ac:dyDescent="0.25">
      <c r="A39" s="711" t="s">
        <v>268</v>
      </c>
      <c r="B39" s="711" t="s">
        <v>269</v>
      </c>
      <c r="C39" s="719" t="s">
        <v>270</v>
      </c>
      <c r="D39" s="709" t="s">
        <v>131</v>
      </c>
      <c r="E39" s="711" t="s">
        <v>155</v>
      </c>
      <c r="F39" s="941">
        <f>15/67</f>
        <v>0.22388059701492538</v>
      </c>
      <c r="G39" s="941" t="s">
        <v>462</v>
      </c>
      <c r="H39" s="941">
        <f>76/58</f>
        <v>1.3103448275862069</v>
      </c>
      <c r="I39" s="711">
        <v>67</v>
      </c>
      <c r="J39" s="711">
        <v>6</v>
      </c>
      <c r="K39" s="711">
        <v>9</v>
      </c>
      <c r="L39" s="720">
        <v>15</v>
      </c>
      <c r="M39" s="714">
        <v>1.0953791228853542</v>
      </c>
      <c r="N39" s="709">
        <v>6</v>
      </c>
      <c r="O39" s="709">
        <v>4</v>
      </c>
      <c r="P39" s="709">
        <v>2</v>
      </c>
      <c r="Q39" s="709">
        <v>88</v>
      </c>
      <c r="R39" s="709">
        <v>31</v>
      </c>
      <c r="S39" s="709">
        <v>38</v>
      </c>
      <c r="T39" s="709">
        <v>92</v>
      </c>
      <c r="U39" s="712">
        <v>6.8181818181818177E-2</v>
      </c>
      <c r="V39" s="712">
        <v>3.8216560509554139E-2</v>
      </c>
      <c r="W39" s="713">
        <v>821.63333333330002</v>
      </c>
      <c r="X39" s="713">
        <v>12.263184079601492</v>
      </c>
      <c r="Y39" s="713">
        <v>799.52</v>
      </c>
      <c r="Z39" s="713">
        <v>11.933134328358209</v>
      </c>
      <c r="AA39" s="713">
        <v>2366.39</v>
      </c>
      <c r="AB39" s="713">
        <v>35.319253731343281</v>
      </c>
      <c r="AC39" s="716">
        <v>0.25254034385058327</v>
      </c>
      <c r="AD39" s="715">
        <v>51.741935483870968</v>
      </c>
      <c r="AE39" s="708">
        <v>31</v>
      </c>
      <c r="AF39" s="709">
        <v>163</v>
      </c>
      <c r="AG39" s="709">
        <v>133</v>
      </c>
      <c r="AH39" s="709">
        <v>12</v>
      </c>
      <c r="AI39" s="709">
        <v>24</v>
      </c>
      <c r="AJ39" s="712">
        <v>0.19354838709677419</v>
      </c>
      <c r="AK39" s="712">
        <v>0.19354838709677419</v>
      </c>
      <c r="AL39" s="712">
        <v>0.38709677419354838</v>
      </c>
      <c r="AM39" s="709">
        <v>199</v>
      </c>
      <c r="AN39" s="716">
        <v>0.29613095238095238</v>
      </c>
      <c r="AO39" s="709">
        <v>216</v>
      </c>
      <c r="AP39" s="716">
        <v>0.32142857142857145</v>
      </c>
      <c r="AQ39" s="709">
        <v>257</v>
      </c>
      <c r="AR39" s="716">
        <v>0.38244047619047616</v>
      </c>
      <c r="AS39" s="716">
        <v>0.4795180722891566</v>
      </c>
      <c r="AT39" s="709">
        <v>8</v>
      </c>
      <c r="AU39" s="710">
        <v>-4.1900000000000004</v>
      </c>
      <c r="AV39" s="721">
        <v>279</v>
      </c>
      <c r="AW39" s="721">
        <v>273</v>
      </c>
      <c r="AX39" s="721">
        <v>238</v>
      </c>
      <c r="AY39" s="716">
        <v>0.50543478260869568</v>
      </c>
      <c r="AZ39" s="717">
        <v>17.09</v>
      </c>
      <c r="BA39" s="722">
        <v>11</v>
      </c>
      <c r="BB39" s="721">
        <v>0.187</v>
      </c>
      <c r="BC39" s="709">
        <v>10</v>
      </c>
      <c r="BD39" s="723">
        <v>-0.53100000000000003</v>
      </c>
      <c r="BE39" s="713">
        <v>49.54</v>
      </c>
      <c r="BF39" s="717">
        <v>17.52</v>
      </c>
      <c r="BG39" s="723">
        <v>-9.8000000000000004E-2</v>
      </c>
      <c r="BH39" s="723">
        <v>0.65700000000000003</v>
      </c>
      <c r="BI39" s="713">
        <v>51.24</v>
      </c>
      <c r="BJ39" s="716">
        <v>7.7306733167082295E-2</v>
      </c>
      <c r="BK39" s="724">
        <v>0.91831683168316836</v>
      </c>
      <c r="BL39" s="722">
        <v>995.62356485025066</v>
      </c>
      <c r="BM39" s="716">
        <v>-4.3764351497493498E-3</v>
      </c>
      <c r="BN39" s="717">
        <v>2.3263958375025018</v>
      </c>
      <c r="BO39" s="717">
        <v>2.4764858915349208</v>
      </c>
      <c r="BP39" s="713">
        <v>30.093055833500099</v>
      </c>
      <c r="BQ39" s="713">
        <v>30.31819091454873</v>
      </c>
      <c r="BR39" s="713">
        <v>55.308184910946572</v>
      </c>
      <c r="BS39" s="713">
        <v>53.281969181508906</v>
      </c>
      <c r="BT39" s="713">
        <v>2.0262157294376664</v>
      </c>
      <c r="BU39" s="709">
        <v>31</v>
      </c>
      <c r="BV39" s="709">
        <v>33</v>
      </c>
      <c r="BW39" s="722">
        <v>370</v>
      </c>
      <c r="BX39" s="722">
        <v>371</v>
      </c>
      <c r="BY39" s="722">
        <v>141</v>
      </c>
      <c r="BZ39" s="722">
        <v>139</v>
      </c>
      <c r="CA39" s="722">
        <v>167</v>
      </c>
      <c r="CB39" s="722">
        <v>195</v>
      </c>
      <c r="CC39" s="709">
        <v>376</v>
      </c>
      <c r="CD39" s="709">
        <v>317</v>
      </c>
      <c r="CE39" s="716">
        <v>0.54256854256854259</v>
      </c>
      <c r="CF39" s="710">
        <v>3.51</v>
      </c>
      <c r="CG39" s="725">
        <v>1.2397819944979069</v>
      </c>
      <c r="CH39" s="717">
        <v>2.8397685926664669</v>
      </c>
      <c r="CI39" s="717">
        <v>2.2819569048212678</v>
      </c>
      <c r="CJ39" s="717">
        <v>29.995055760039556</v>
      </c>
      <c r="CK39" s="717">
        <v>32.809469275985791</v>
      </c>
      <c r="CL39" s="717">
        <v>57.251763234293591</v>
      </c>
      <c r="CM39" s="717">
        <v>57.403893694615007</v>
      </c>
      <c r="CN39" s="713">
        <v>2.1783461897590826</v>
      </c>
      <c r="CO39" s="722">
        <v>112</v>
      </c>
      <c r="CP39" s="722">
        <v>90</v>
      </c>
      <c r="CQ39" s="722">
        <v>1071</v>
      </c>
      <c r="CR39" s="722">
        <v>1204</v>
      </c>
      <c r="CS39" s="722">
        <v>447</v>
      </c>
      <c r="CT39" s="722">
        <v>451</v>
      </c>
      <c r="CU39" s="722">
        <v>519</v>
      </c>
      <c r="CV39" s="722">
        <v>628</v>
      </c>
      <c r="CW39" s="709">
        <v>6</v>
      </c>
      <c r="CX39" s="709">
        <v>9</v>
      </c>
      <c r="CY39" s="722">
        <v>3</v>
      </c>
      <c r="CZ39" s="717">
        <v>0.43815164915414168</v>
      </c>
      <c r="DA39" s="717">
        <v>0.65722747373121249</v>
      </c>
      <c r="DB39" s="717">
        <v>0.21907582457707084</v>
      </c>
      <c r="DC39" s="711">
        <v>31</v>
      </c>
      <c r="DD39" s="711">
        <v>30</v>
      </c>
      <c r="DE39" s="718">
        <v>30.5</v>
      </c>
      <c r="DF39" s="718">
        <v>27.17</v>
      </c>
      <c r="DG39" s="718">
        <v>30.9</v>
      </c>
      <c r="DH39" s="718">
        <v>30.36</v>
      </c>
      <c r="DI39" s="711">
        <v>118</v>
      </c>
      <c r="DJ39" s="711">
        <v>124</v>
      </c>
      <c r="DK39" s="716">
        <v>0.48760330578512395</v>
      </c>
      <c r="DL39" s="722">
        <v>85</v>
      </c>
      <c r="DM39" s="722">
        <v>37</v>
      </c>
      <c r="DN39" s="711">
        <v>8</v>
      </c>
      <c r="DO39" s="711">
        <v>1</v>
      </c>
      <c r="DP39" s="711">
        <v>8.2000000000000003E-2</v>
      </c>
      <c r="DQ39" s="711">
        <v>2</v>
      </c>
      <c r="DR39" s="711">
        <v>0</v>
      </c>
      <c r="DS39" s="711">
        <v>2.4E-2</v>
      </c>
      <c r="DT39" s="711">
        <v>57</v>
      </c>
      <c r="DU39" s="726">
        <v>28</v>
      </c>
      <c r="DV39" s="711">
        <v>1</v>
      </c>
      <c r="DW39" s="711">
        <v>10</v>
      </c>
      <c r="DX39" s="711">
        <v>-0.158</v>
      </c>
      <c r="DY39" s="711">
        <v>0</v>
      </c>
      <c r="DZ39" s="711">
        <v>0</v>
      </c>
      <c r="EA39" s="711">
        <v>0</v>
      </c>
    </row>
    <row r="40" spans="1:131" ht="39" x14ac:dyDescent="0.25">
      <c r="A40" s="730" t="s">
        <v>271</v>
      </c>
      <c r="B40" s="730" t="s">
        <v>272</v>
      </c>
      <c r="C40" s="738" t="s">
        <v>273</v>
      </c>
      <c r="D40" s="728" t="s">
        <v>274</v>
      </c>
      <c r="E40" s="730" t="s">
        <v>137</v>
      </c>
      <c r="F40" s="941">
        <f>15/82</f>
        <v>0.18292682926829268</v>
      </c>
      <c r="G40" s="941" t="s">
        <v>456</v>
      </c>
      <c r="H40" s="941">
        <f>42/65</f>
        <v>0.64615384615384619</v>
      </c>
      <c r="I40" s="730">
        <v>82</v>
      </c>
      <c r="J40" s="730">
        <v>5</v>
      </c>
      <c r="K40" s="730">
        <v>9</v>
      </c>
      <c r="L40" s="739">
        <v>14</v>
      </c>
      <c r="M40" s="733">
        <v>0.92223238792318107</v>
      </c>
      <c r="N40" s="728">
        <v>5</v>
      </c>
      <c r="O40" s="728">
        <v>5</v>
      </c>
      <c r="P40" s="728">
        <v>4</v>
      </c>
      <c r="Q40" s="728">
        <v>71</v>
      </c>
      <c r="R40" s="728">
        <v>33</v>
      </c>
      <c r="S40" s="728">
        <v>32</v>
      </c>
      <c r="T40" s="728">
        <v>77</v>
      </c>
      <c r="U40" s="731">
        <v>7.0422535211267609E-2</v>
      </c>
      <c r="V40" s="731">
        <v>3.6764705882352942E-2</v>
      </c>
      <c r="W40" s="732">
        <v>910.83333333329995</v>
      </c>
      <c r="X40" s="732">
        <v>11.107723577235365</v>
      </c>
      <c r="Y40" s="732">
        <v>895.57</v>
      </c>
      <c r="Z40" s="732">
        <v>10.921585365853659</v>
      </c>
      <c r="AA40" s="732">
        <v>3099.37</v>
      </c>
      <c r="AB40" s="732">
        <v>37.797195121951219</v>
      </c>
      <c r="AC40" s="735">
        <v>0.22417608274467202</v>
      </c>
      <c r="AD40" s="734">
        <v>80.555555555555557</v>
      </c>
      <c r="AE40" s="727">
        <v>30</v>
      </c>
      <c r="AF40" s="728">
        <v>255</v>
      </c>
      <c r="AG40" s="728">
        <v>69</v>
      </c>
      <c r="AH40" s="728">
        <v>7</v>
      </c>
      <c r="AI40" s="728">
        <v>8</v>
      </c>
      <c r="AJ40" s="731">
        <v>0.27777777777777779</v>
      </c>
      <c r="AK40" s="731">
        <v>0.5</v>
      </c>
      <c r="AL40" s="731">
        <v>0.77777777777777779</v>
      </c>
      <c r="AM40" s="728">
        <v>183</v>
      </c>
      <c r="AN40" s="735">
        <v>0.24078947368421053</v>
      </c>
      <c r="AO40" s="728">
        <v>325</v>
      </c>
      <c r="AP40" s="735">
        <v>0.42763157894736842</v>
      </c>
      <c r="AQ40" s="728">
        <v>252</v>
      </c>
      <c r="AR40" s="735">
        <v>0.33157894736842103</v>
      </c>
      <c r="AS40" s="735">
        <v>0.36023622047244097</v>
      </c>
      <c r="AT40" s="728">
        <v>4</v>
      </c>
      <c r="AU40" s="729">
        <v>-5.61</v>
      </c>
      <c r="AV40" s="740">
        <v>300</v>
      </c>
      <c r="AW40" s="740">
        <v>336</v>
      </c>
      <c r="AX40" s="740">
        <v>245</v>
      </c>
      <c r="AY40" s="735">
        <v>0.47169811320754718</v>
      </c>
      <c r="AZ40" s="736">
        <v>17.09</v>
      </c>
      <c r="BA40" s="741">
        <v>10</v>
      </c>
      <c r="BB40" s="740">
        <v>6.7000000000000004E-2</v>
      </c>
      <c r="BC40" s="728">
        <v>9</v>
      </c>
      <c r="BD40" s="742">
        <v>1.304</v>
      </c>
      <c r="BE40" s="732">
        <v>50.21</v>
      </c>
      <c r="BF40" s="736">
        <v>16.75</v>
      </c>
      <c r="BG40" s="742">
        <v>-0.97199999999999998</v>
      </c>
      <c r="BH40" s="742">
        <v>-25.635000000000002</v>
      </c>
      <c r="BI40" s="732">
        <v>40.65</v>
      </c>
      <c r="BJ40" s="735">
        <v>6.2068965517241378E-2</v>
      </c>
      <c r="BK40" s="743">
        <v>0.92205323193916355</v>
      </c>
      <c r="BL40" s="741">
        <v>984.12219745640493</v>
      </c>
      <c r="BM40" s="735">
        <v>-1.5877802543595068E-2</v>
      </c>
      <c r="BN40" s="736">
        <v>1.2059358844088124</v>
      </c>
      <c r="BO40" s="736">
        <v>2.7468539589311831</v>
      </c>
      <c r="BP40" s="732">
        <v>19.42896702658642</v>
      </c>
      <c r="BQ40" s="732">
        <v>35.240126399946398</v>
      </c>
      <c r="BR40" s="732">
        <v>34.637158457741997</v>
      </c>
      <c r="BS40" s="732">
        <v>67.197427336779924</v>
      </c>
      <c r="BT40" s="732">
        <v>-32.560268879037928</v>
      </c>
      <c r="BU40" s="728">
        <v>18</v>
      </c>
      <c r="BV40" s="728">
        <v>41</v>
      </c>
      <c r="BW40" s="741">
        <v>272</v>
      </c>
      <c r="BX40" s="741">
        <v>485</v>
      </c>
      <c r="BY40" s="741">
        <v>103</v>
      </c>
      <c r="BZ40" s="741">
        <v>201</v>
      </c>
      <c r="CA40" s="741">
        <v>276</v>
      </c>
      <c r="CB40" s="741">
        <v>124</v>
      </c>
      <c r="CC40" s="728">
        <v>238</v>
      </c>
      <c r="CD40" s="728">
        <v>498</v>
      </c>
      <c r="CE40" s="735">
        <v>0.3233695652173913</v>
      </c>
      <c r="CF40" s="729">
        <v>-7.35</v>
      </c>
      <c r="CG40" s="744">
        <v>-2.3569381703765089</v>
      </c>
      <c r="CH40" s="736">
        <v>1.8584421995437783</v>
      </c>
      <c r="CI40" s="736">
        <v>2.8844571638752394</v>
      </c>
      <c r="CJ40" s="736">
        <v>24.856664418898035</v>
      </c>
      <c r="CK40" s="736">
        <v>35.252325472596041</v>
      </c>
      <c r="CL40" s="736">
        <v>43.266857458128591</v>
      </c>
      <c r="CM40" s="736">
        <v>68.95594911223894</v>
      </c>
      <c r="CN40" s="732">
        <v>-6.8711772249275782</v>
      </c>
      <c r="CO40" s="741">
        <v>96</v>
      </c>
      <c r="CP40" s="741">
        <v>149</v>
      </c>
      <c r="CQ40" s="741">
        <v>1188</v>
      </c>
      <c r="CR40" s="741">
        <v>1672</v>
      </c>
      <c r="CS40" s="741">
        <v>415</v>
      </c>
      <c r="CT40" s="741">
        <v>747</v>
      </c>
      <c r="CU40" s="741">
        <v>994</v>
      </c>
      <c r="CV40" s="741">
        <v>536</v>
      </c>
      <c r="CW40" s="728">
        <v>9</v>
      </c>
      <c r="CX40" s="728">
        <v>8</v>
      </c>
      <c r="CY40" s="741">
        <v>-1</v>
      </c>
      <c r="CZ40" s="736">
        <v>0.59286367795061645</v>
      </c>
      <c r="DA40" s="736">
        <v>0.52698993595610344</v>
      </c>
      <c r="DB40" s="736">
        <v>-6.587374199451293E-2</v>
      </c>
      <c r="DC40" s="730">
        <v>19</v>
      </c>
      <c r="DD40" s="730">
        <v>40</v>
      </c>
      <c r="DE40" s="737">
        <v>24.34</v>
      </c>
      <c r="DF40" s="737">
        <v>39.630000000000003</v>
      </c>
      <c r="DG40" s="737">
        <v>28.05</v>
      </c>
      <c r="DH40" s="737">
        <v>39.33</v>
      </c>
      <c r="DI40" s="730">
        <v>0</v>
      </c>
      <c r="DJ40" s="730">
        <v>1</v>
      </c>
      <c r="DK40" s="735">
        <v>0</v>
      </c>
      <c r="DL40" s="741">
        <v>1</v>
      </c>
      <c r="DM40" s="741">
        <v>0</v>
      </c>
      <c r="DN40" s="730">
        <v>0</v>
      </c>
      <c r="DO40" s="730">
        <v>0</v>
      </c>
      <c r="DP40" s="730">
        <v>0</v>
      </c>
      <c r="DQ40" s="730">
        <v>0</v>
      </c>
      <c r="DR40" s="730">
        <v>0</v>
      </c>
      <c r="DS40" s="730">
        <v>0</v>
      </c>
      <c r="DT40" s="746"/>
      <c r="DU40" s="745"/>
      <c r="DV40" s="730"/>
      <c r="DW40" s="730"/>
      <c r="DX40" s="730"/>
      <c r="DY40" s="730"/>
      <c r="DZ40" s="730"/>
      <c r="EA40" s="728"/>
    </row>
    <row r="41" spans="1:131" ht="26.25" x14ac:dyDescent="0.25">
      <c r="A41" s="750" t="s">
        <v>275</v>
      </c>
      <c r="B41" s="750" t="s">
        <v>276</v>
      </c>
      <c r="C41" s="758" t="s">
        <v>277</v>
      </c>
      <c r="D41" s="748" t="s">
        <v>274</v>
      </c>
      <c r="E41" s="750" t="s">
        <v>160</v>
      </c>
      <c r="F41" s="941">
        <f>15/60</f>
        <v>0.25</v>
      </c>
      <c r="G41" s="941" t="s">
        <v>459</v>
      </c>
      <c r="H41" s="941">
        <f>30/36</f>
        <v>0.83333333333333337</v>
      </c>
      <c r="I41" s="750">
        <v>60</v>
      </c>
      <c r="J41" s="750">
        <v>1</v>
      </c>
      <c r="K41" s="750">
        <v>9</v>
      </c>
      <c r="L41" s="759">
        <v>10</v>
      </c>
      <c r="M41" s="753">
        <v>0.62860136196961758</v>
      </c>
      <c r="N41" s="748">
        <v>0</v>
      </c>
      <c r="O41" s="748">
        <v>5</v>
      </c>
      <c r="P41" s="748">
        <v>4</v>
      </c>
      <c r="Q41" s="748">
        <v>41</v>
      </c>
      <c r="R41" s="748">
        <v>16</v>
      </c>
      <c r="S41" s="748">
        <v>20</v>
      </c>
      <c r="T41" s="748">
        <v>21</v>
      </c>
      <c r="U41" s="751">
        <v>2.4390243902439025E-2</v>
      </c>
      <c r="V41" s="751">
        <v>1.2987012987012988E-2</v>
      </c>
      <c r="W41" s="752">
        <v>954.5</v>
      </c>
      <c r="X41" s="752">
        <v>15.908333333333333</v>
      </c>
      <c r="Y41" s="752">
        <v>917.74</v>
      </c>
      <c r="Z41" s="752">
        <v>15.295666666666667</v>
      </c>
      <c r="AA41" s="752">
        <v>2025.67</v>
      </c>
      <c r="AB41" s="752">
        <v>33.761166666666668</v>
      </c>
      <c r="AC41" s="755">
        <v>0.31179482301140515</v>
      </c>
      <c r="AD41" s="754">
        <v>54.444444444444443</v>
      </c>
      <c r="AE41" s="747">
        <v>68</v>
      </c>
      <c r="AF41" s="748">
        <v>122</v>
      </c>
      <c r="AG41" s="748">
        <v>60</v>
      </c>
      <c r="AH41" s="748">
        <v>34</v>
      </c>
      <c r="AI41" s="748">
        <v>9</v>
      </c>
      <c r="AJ41" s="751">
        <v>0</v>
      </c>
      <c r="AK41" s="751">
        <v>0.25</v>
      </c>
      <c r="AL41" s="751">
        <v>0.25</v>
      </c>
      <c r="AM41" s="748">
        <v>253</v>
      </c>
      <c r="AN41" s="755">
        <v>0.31273176761433868</v>
      </c>
      <c r="AO41" s="748">
        <v>289</v>
      </c>
      <c r="AP41" s="755">
        <v>0.35723114956736712</v>
      </c>
      <c r="AQ41" s="748">
        <v>267</v>
      </c>
      <c r="AR41" s="755">
        <v>0.33003708281829419</v>
      </c>
      <c r="AS41" s="755">
        <v>0.46678966789667897</v>
      </c>
      <c r="AT41" s="748">
        <v>6</v>
      </c>
      <c r="AU41" s="749">
        <v>7.92</v>
      </c>
      <c r="AV41" s="760">
        <v>331</v>
      </c>
      <c r="AW41" s="760">
        <v>363</v>
      </c>
      <c r="AX41" s="760">
        <v>270</v>
      </c>
      <c r="AY41" s="755">
        <v>0.47694524495677232</v>
      </c>
      <c r="AZ41" s="756">
        <v>17.14</v>
      </c>
      <c r="BA41" s="761">
        <v>7</v>
      </c>
      <c r="BB41" s="760">
        <v>-0.23500000000000001</v>
      </c>
      <c r="BC41" s="748">
        <v>8</v>
      </c>
      <c r="BD41" s="762">
        <v>1.2690000000000001</v>
      </c>
      <c r="BE41" s="752">
        <v>50.36</v>
      </c>
      <c r="BF41" s="756">
        <v>16.34</v>
      </c>
      <c r="BG41" s="762">
        <v>0.28600000000000003</v>
      </c>
      <c r="BH41" s="762">
        <v>-25.463000000000001</v>
      </c>
      <c r="BI41" s="752">
        <v>40.15</v>
      </c>
      <c r="BJ41" s="755">
        <v>9.1836734693877556E-2</v>
      </c>
      <c r="BK41" s="763">
        <v>0.93103448275862066</v>
      </c>
      <c r="BL41" s="761">
        <v>1022.8712174524983</v>
      </c>
      <c r="BM41" s="755">
        <v>2.2871217452498219E-2</v>
      </c>
      <c r="BN41" s="756">
        <v>2.3536077756227254</v>
      </c>
      <c r="BO41" s="756">
        <v>2.484363763157321</v>
      </c>
      <c r="BP41" s="752">
        <v>25.628173556780787</v>
      </c>
      <c r="BQ41" s="752">
        <v>36.023274565781158</v>
      </c>
      <c r="BR41" s="752">
        <v>41.77653801730338</v>
      </c>
      <c r="BS41" s="752">
        <v>64.005055898184679</v>
      </c>
      <c r="BT41" s="752">
        <v>-22.228517880881299</v>
      </c>
      <c r="BU41" s="748">
        <v>36</v>
      </c>
      <c r="BV41" s="748">
        <v>38</v>
      </c>
      <c r="BW41" s="761">
        <v>356</v>
      </c>
      <c r="BX41" s="761">
        <v>513</v>
      </c>
      <c r="BY41" s="761">
        <v>108</v>
      </c>
      <c r="BZ41" s="761">
        <v>180</v>
      </c>
      <c r="CA41" s="761">
        <v>248</v>
      </c>
      <c r="CB41" s="761">
        <v>139</v>
      </c>
      <c r="CC41" s="748">
        <v>324</v>
      </c>
      <c r="CD41" s="748">
        <v>483</v>
      </c>
      <c r="CE41" s="755">
        <v>0.40148698884758366</v>
      </c>
      <c r="CF41" s="749">
        <v>2.37</v>
      </c>
      <c r="CG41" s="764">
        <v>5.2105300895984072</v>
      </c>
      <c r="CH41" s="756">
        <v>1.5402311334027754</v>
      </c>
      <c r="CI41" s="756">
        <v>2.6954044834548565</v>
      </c>
      <c r="CJ41" s="756">
        <v>24.051301544674107</v>
      </c>
      <c r="CK41" s="756">
        <v>34.151663400257689</v>
      </c>
      <c r="CL41" s="756">
        <v>41.556620772386424</v>
      </c>
      <c r="CM41" s="756">
        <v>69.606599298010039</v>
      </c>
      <c r="CN41" s="752">
        <v>5.8214606447423165</v>
      </c>
      <c r="CO41" s="761">
        <v>52</v>
      </c>
      <c r="CP41" s="761">
        <v>91</v>
      </c>
      <c r="CQ41" s="761">
        <v>760</v>
      </c>
      <c r="CR41" s="761">
        <v>1062</v>
      </c>
      <c r="CS41" s="761">
        <v>282</v>
      </c>
      <c r="CT41" s="761">
        <v>499</v>
      </c>
      <c r="CU41" s="761">
        <v>698</v>
      </c>
      <c r="CV41" s="761">
        <v>309</v>
      </c>
      <c r="CW41" s="748">
        <v>13</v>
      </c>
      <c r="CX41" s="748">
        <v>2</v>
      </c>
      <c r="CY41" s="761">
        <v>-11</v>
      </c>
      <c r="CZ41" s="756">
        <v>0.8171817705605029</v>
      </c>
      <c r="DA41" s="756">
        <v>0.12572027239392353</v>
      </c>
      <c r="DB41" s="756">
        <v>-0.69146149816657942</v>
      </c>
      <c r="DC41" s="750">
        <v>29</v>
      </c>
      <c r="DD41" s="750">
        <v>44</v>
      </c>
      <c r="DE41" s="757">
        <v>20.88</v>
      </c>
      <c r="DF41" s="757">
        <v>39.950000000000003</v>
      </c>
      <c r="DG41" s="757">
        <v>26.78</v>
      </c>
      <c r="DH41" s="757">
        <v>40.1</v>
      </c>
      <c r="DI41" s="748"/>
      <c r="DJ41" s="748"/>
      <c r="DK41" s="755" t="s">
        <v>161</v>
      </c>
      <c r="DL41" s="761">
        <v>1</v>
      </c>
      <c r="DM41" s="761">
        <v>1</v>
      </c>
      <c r="DN41" s="750">
        <v>1</v>
      </c>
      <c r="DO41" s="750">
        <v>0</v>
      </c>
      <c r="DP41" s="750">
        <v>1</v>
      </c>
      <c r="DQ41" s="750">
        <v>0</v>
      </c>
      <c r="DR41" s="750">
        <v>0</v>
      </c>
      <c r="DS41" s="750">
        <v>0</v>
      </c>
      <c r="DT41" s="748"/>
      <c r="DU41" s="761"/>
      <c r="DV41" s="748"/>
      <c r="DW41" s="748"/>
      <c r="DX41" s="748"/>
      <c r="DY41" s="748"/>
      <c r="DZ41" s="748"/>
      <c r="EA41" s="750"/>
    </row>
    <row r="42" spans="1:131" ht="26.25" x14ac:dyDescent="0.25">
      <c r="A42" s="768" t="s">
        <v>278</v>
      </c>
      <c r="B42" s="768" t="s">
        <v>279</v>
      </c>
      <c r="C42" s="776" t="s">
        <v>280</v>
      </c>
      <c r="D42" s="766" t="s">
        <v>150</v>
      </c>
      <c r="E42" s="768" t="s">
        <v>132</v>
      </c>
      <c r="F42" s="941">
        <f>14/58</f>
        <v>0.2413793103448276</v>
      </c>
      <c r="G42" s="941" t="s">
        <v>456</v>
      </c>
      <c r="H42" s="941">
        <f>34/48</f>
        <v>0.70833333333333337</v>
      </c>
      <c r="I42" s="768">
        <v>58</v>
      </c>
      <c r="J42" s="768">
        <v>6</v>
      </c>
      <c r="K42" s="768">
        <v>7</v>
      </c>
      <c r="L42" s="777">
        <v>13</v>
      </c>
      <c r="M42" s="771">
        <v>1.260877764905501</v>
      </c>
      <c r="N42" s="766">
        <v>5</v>
      </c>
      <c r="O42" s="766">
        <v>3</v>
      </c>
      <c r="P42" s="766">
        <v>4</v>
      </c>
      <c r="Q42" s="766">
        <v>49</v>
      </c>
      <c r="R42" s="766">
        <v>18</v>
      </c>
      <c r="S42" s="766">
        <v>18</v>
      </c>
      <c r="T42" s="766">
        <v>64</v>
      </c>
      <c r="U42" s="769">
        <v>0.12244897959183673</v>
      </c>
      <c r="V42" s="769">
        <v>7.0588235294117646E-2</v>
      </c>
      <c r="W42" s="770">
        <v>618.61666666669998</v>
      </c>
      <c r="X42" s="770">
        <v>10.665804597701724</v>
      </c>
      <c r="Y42" s="770">
        <v>607.73</v>
      </c>
      <c r="Z42" s="770">
        <v>10.478103448275862</v>
      </c>
      <c r="AA42" s="770">
        <v>2227.4499999999998</v>
      </c>
      <c r="AB42" s="770">
        <v>38.404310344827586</v>
      </c>
      <c r="AC42" s="773">
        <v>0.214353233304411</v>
      </c>
      <c r="AD42" s="772">
        <v>46.5</v>
      </c>
      <c r="AE42" s="765">
        <v>23</v>
      </c>
      <c r="AF42" s="766">
        <v>98</v>
      </c>
      <c r="AG42" s="766">
        <v>75</v>
      </c>
      <c r="AH42" s="766">
        <v>4</v>
      </c>
      <c r="AI42" s="766">
        <v>11</v>
      </c>
      <c r="AJ42" s="769">
        <v>0.3</v>
      </c>
      <c r="AK42" s="769">
        <v>0.35</v>
      </c>
      <c r="AL42" s="769">
        <v>0.64999999999999991</v>
      </c>
      <c r="AM42" s="766">
        <v>132</v>
      </c>
      <c r="AN42" s="773">
        <v>0.25</v>
      </c>
      <c r="AO42" s="766">
        <v>186</v>
      </c>
      <c r="AP42" s="773">
        <v>0.35227272727272729</v>
      </c>
      <c r="AQ42" s="766">
        <v>210</v>
      </c>
      <c r="AR42" s="773">
        <v>0.39772727272727271</v>
      </c>
      <c r="AS42" s="773">
        <v>0.41509433962264153</v>
      </c>
      <c r="AT42" s="766">
        <v>4</v>
      </c>
      <c r="AU42" s="767">
        <v>-8.5299999999999994</v>
      </c>
      <c r="AV42" s="778">
        <v>197</v>
      </c>
      <c r="AW42" s="778">
        <v>226</v>
      </c>
      <c r="AX42" s="778">
        <v>190</v>
      </c>
      <c r="AY42" s="773">
        <v>0.4657210401891253</v>
      </c>
      <c r="AZ42" s="774">
        <v>16.88</v>
      </c>
      <c r="BA42" s="779">
        <v>12</v>
      </c>
      <c r="BB42" s="778">
        <v>-0.53100000000000003</v>
      </c>
      <c r="BC42" s="766">
        <v>12</v>
      </c>
      <c r="BD42" s="780">
        <v>0.36399999999999999</v>
      </c>
      <c r="BE42" s="770">
        <v>50.01</v>
      </c>
      <c r="BF42" s="774">
        <v>17.079999999999998</v>
      </c>
      <c r="BG42" s="780">
        <v>-1.7690000000000001</v>
      </c>
      <c r="BH42" s="780">
        <v>-2.2610000000000001</v>
      </c>
      <c r="BI42" s="770">
        <v>49.1</v>
      </c>
      <c r="BJ42" s="773">
        <v>6.4516129032258063E-2</v>
      </c>
      <c r="BK42" s="781">
        <v>0.92465753424657537</v>
      </c>
      <c r="BL42" s="779">
        <v>989.17366327883337</v>
      </c>
      <c r="BM42" s="773">
        <v>-1.0826336721166563E-2</v>
      </c>
      <c r="BN42" s="774">
        <v>1.9745610715284747</v>
      </c>
      <c r="BO42" s="774">
        <v>2.172017178681322</v>
      </c>
      <c r="BP42" s="770">
        <v>30.605696608691357</v>
      </c>
      <c r="BQ42" s="770">
        <v>28.828591644315733</v>
      </c>
      <c r="BR42" s="770">
        <v>52.128412288351733</v>
      </c>
      <c r="BS42" s="770">
        <v>52.325868395504578</v>
      </c>
      <c r="BT42" s="770">
        <v>-0.19745610715284556</v>
      </c>
      <c r="BU42" s="766">
        <v>20</v>
      </c>
      <c r="BV42" s="766">
        <v>22</v>
      </c>
      <c r="BW42" s="779">
        <v>290</v>
      </c>
      <c r="BX42" s="779">
        <v>270</v>
      </c>
      <c r="BY42" s="779">
        <v>96</v>
      </c>
      <c r="BZ42" s="779">
        <v>106</v>
      </c>
      <c r="CA42" s="779">
        <v>132</v>
      </c>
      <c r="CB42" s="779">
        <v>122</v>
      </c>
      <c r="CC42" s="766">
        <v>209</v>
      </c>
      <c r="CD42" s="766">
        <v>214</v>
      </c>
      <c r="CE42" s="773">
        <v>0.49408983451536642</v>
      </c>
      <c r="CF42" s="767">
        <v>-0.65</v>
      </c>
      <c r="CG42" s="782">
        <v>4.375279741903757</v>
      </c>
      <c r="CH42" s="774">
        <v>2.9899661047386026</v>
      </c>
      <c r="CI42" s="774">
        <v>1.8855642101955152</v>
      </c>
      <c r="CJ42" s="774">
        <v>30.19596399470246</v>
      </c>
      <c r="CK42" s="774">
        <v>30.303710520999349</v>
      </c>
      <c r="CL42" s="774">
        <v>54.573615569373054</v>
      </c>
      <c r="CM42" s="774">
        <v>59.045096410693844</v>
      </c>
      <c r="CN42" s="770">
        <v>4.2740247341679449</v>
      </c>
      <c r="CO42" s="779">
        <v>111</v>
      </c>
      <c r="CP42" s="779">
        <v>70</v>
      </c>
      <c r="CQ42" s="779">
        <v>1010</v>
      </c>
      <c r="CR42" s="779">
        <v>1055</v>
      </c>
      <c r="CS42" s="779">
        <v>409</v>
      </c>
      <c r="CT42" s="779">
        <v>496</v>
      </c>
      <c r="CU42" s="779">
        <v>571</v>
      </c>
      <c r="CV42" s="779">
        <v>496</v>
      </c>
      <c r="CW42" s="766">
        <v>2</v>
      </c>
      <c r="CX42" s="766">
        <v>6</v>
      </c>
      <c r="CY42" s="779">
        <v>4</v>
      </c>
      <c r="CZ42" s="774">
        <v>0.19398119460084631</v>
      </c>
      <c r="DA42" s="774">
        <v>0.58194358380253897</v>
      </c>
      <c r="DB42" s="774">
        <v>0.38796238920169263</v>
      </c>
      <c r="DC42" s="768">
        <v>24</v>
      </c>
      <c r="DD42" s="768">
        <v>21</v>
      </c>
      <c r="DE42" s="775">
        <v>25.94</v>
      </c>
      <c r="DF42" s="775">
        <v>20.8</v>
      </c>
      <c r="DG42" s="775">
        <v>25.44</v>
      </c>
      <c r="DH42" s="775">
        <v>24.93</v>
      </c>
      <c r="DI42" s="768">
        <v>2</v>
      </c>
      <c r="DJ42" s="768">
        <v>7</v>
      </c>
      <c r="DK42" s="773">
        <v>0.22222222222222221</v>
      </c>
      <c r="DL42" s="779">
        <v>2</v>
      </c>
      <c r="DM42" s="779">
        <v>0</v>
      </c>
      <c r="DN42" s="768">
        <v>0</v>
      </c>
      <c r="DO42" s="768">
        <v>0</v>
      </c>
      <c r="DP42" s="768">
        <v>0</v>
      </c>
      <c r="DQ42" s="768">
        <v>0</v>
      </c>
      <c r="DR42" s="768">
        <v>0</v>
      </c>
      <c r="DS42" s="768">
        <v>0</v>
      </c>
      <c r="DT42" s="768">
        <v>4</v>
      </c>
      <c r="DU42" s="783">
        <v>1</v>
      </c>
      <c r="DV42" s="768">
        <v>0</v>
      </c>
      <c r="DW42" s="768">
        <v>0</v>
      </c>
      <c r="DX42" s="768">
        <v>0</v>
      </c>
      <c r="DY42" s="768">
        <v>0</v>
      </c>
      <c r="DZ42" s="768">
        <v>0</v>
      </c>
      <c r="EA42" s="768">
        <v>0</v>
      </c>
    </row>
    <row r="43" spans="1:131" ht="39" x14ac:dyDescent="0.25">
      <c r="A43" s="787" t="s">
        <v>281</v>
      </c>
      <c r="B43" s="787" t="s">
        <v>282</v>
      </c>
      <c r="C43" s="795" t="s">
        <v>283</v>
      </c>
      <c r="D43" s="785" t="s">
        <v>193</v>
      </c>
      <c r="E43" s="787" t="s">
        <v>217</v>
      </c>
      <c r="F43" s="941">
        <f>12/60</f>
        <v>0.2</v>
      </c>
      <c r="G43" s="941" t="s">
        <v>459</v>
      </c>
      <c r="H43" s="941">
        <f>67/63</f>
        <v>1.0634920634920635</v>
      </c>
      <c r="I43" s="787">
        <v>60</v>
      </c>
      <c r="J43" s="787">
        <v>4</v>
      </c>
      <c r="K43" s="787">
        <v>7</v>
      </c>
      <c r="L43" s="796">
        <v>11</v>
      </c>
      <c r="M43" s="790">
        <v>1.0629445711984395</v>
      </c>
      <c r="N43" s="785">
        <v>4</v>
      </c>
      <c r="O43" s="785">
        <v>6</v>
      </c>
      <c r="P43" s="785">
        <v>1</v>
      </c>
      <c r="Q43" s="785">
        <v>66</v>
      </c>
      <c r="R43" s="785">
        <v>24</v>
      </c>
      <c r="S43" s="785">
        <v>34</v>
      </c>
      <c r="T43" s="785">
        <v>60</v>
      </c>
      <c r="U43" s="788">
        <v>6.0606060606060608E-2</v>
      </c>
      <c r="V43" s="788">
        <v>3.2258064516129031E-2</v>
      </c>
      <c r="W43" s="789">
        <v>620.91666666670005</v>
      </c>
      <c r="X43" s="789">
        <v>10.348611111111667</v>
      </c>
      <c r="Y43" s="789">
        <v>606.52</v>
      </c>
      <c r="Z43" s="789">
        <v>10.108666666666666</v>
      </c>
      <c r="AA43" s="789">
        <v>2335.91</v>
      </c>
      <c r="AB43" s="789">
        <v>38.93183333333333</v>
      </c>
      <c r="AC43" s="792">
        <v>0.20612894784242958</v>
      </c>
      <c r="AD43" s="791">
        <v>86.82352941176471</v>
      </c>
      <c r="AE43" s="784">
        <v>21</v>
      </c>
      <c r="AF43" s="785">
        <v>76</v>
      </c>
      <c r="AG43" s="785">
        <v>87</v>
      </c>
      <c r="AH43" s="785">
        <v>21</v>
      </c>
      <c r="AI43" s="785">
        <v>22</v>
      </c>
      <c r="AJ43" s="788">
        <v>0.23529411764705882</v>
      </c>
      <c r="AK43" s="788">
        <v>0.41176470588235292</v>
      </c>
      <c r="AL43" s="788">
        <v>0.64705882352941169</v>
      </c>
      <c r="AM43" s="785">
        <v>167</v>
      </c>
      <c r="AN43" s="792">
        <v>0.30586080586080588</v>
      </c>
      <c r="AO43" s="785">
        <v>193</v>
      </c>
      <c r="AP43" s="792">
        <v>0.3534798534798535</v>
      </c>
      <c r="AQ43" s="785">
        <v>186</v>
      </c>
      <c r="AR43" s="792">
        <v>0.34065934065934067</v>
      </c>
      <c r="AS43" s="792">
        <v>0.46388888888888891</v>
      </c>
      <c r="AT43" s="785">
        <v>3</v>
      </c>
      <c r="AU43" s="786">
        <v>-3.13</v>
      </c>
      <c r="AV43" s="797">
        <v>236</v>
      </c>
      <c r="AW43" s="797">
        <v>235</v>
      </c>
      <c r="AX43" s="797">
        <v>177</v>
      </c>
      <c r="AY43" s="792">
        <v>0.50106157112526539</v>
      </c>
      <c r="AZ43" s="793">
        <v>16.850000000000001</v>
      </c>
      <c r="BA43" s="798">
        <v>10</v>
      </c>
      <c r="BB43" s="797">
        <v>-5.7000000000000002E-2</v>
      </c>
      <c r="BC43" s="785">
        <v>10</v>
      </c>
      <c r="BD43" s="799">
        <v>-0.34700000000000003</v>
      </c>
      <c r="BE43" s="789">
        <v>49.76</v>
      </c>
      <c r="BF43" s="793">
        <v>17.13</v>
      </c>
      <c r="BG43" s="799">
        <v>-3.0510000000000002</v>
      </c>
      <c r="BH43" s="799">
        <v>0.21099999999999999</v>
      </c>
      <c r="BI43" s="789">
        <v>50.44</v>
      </c>
      <c r="BJ43" s="792">
        <v>6.910569105691057E-2</v>
      </c>
      <c r="BK43" s="800">
        <v>0.93031358885017423</v>
      </c>
      <c r="BL43" s="798">
        <v>999.41927990708484</v>
      </c>
      <c r="BM43" s="792">
        <v>-5.8072009291519622E-4</v>
      </c>
      <c r="BN43" s="793">
        <v>1.681725252258788</v>
      </c>
      <c r="BO43" s="793">
        <v>1.9785002967750445</v>
      </c>
      <c r="BP43" s="789">
        <v>24.335553650333047</v>
      </c>
      <c r="BQ43" s="789">
        <v>28.39147925872189</v>
      </c>
      <c r="BR43" s="789">
        <v>51.342082701312407</v>
      </c>
      <c r="BS43" s="789">
        <v>57.178658576798789</v>
      </c>
      <c r="BT43" s="789">
        <v>-5.8365758754863819</v>
      </c>
      <c r="BU43" s="785">
        <v>17</v>
      </c>
      <c r="BV43" s="785">
        <v>20</v>
      </c>
      <c r="BW43" s="798">
        <v>229</v>
      </c>
      <c r="BX43" s="798">
        <v>267</v>
      </c>
      <c r="BY43" s="798">
        <v>128</v>
      </c>
      <c r="BZ43" s="798">
        <v>127</v>
      </c>
      <c r="CA43" s="798">
        <v>164</v>
      </c>
      <c r="CB43" s="798">
        <v>145</v>
      </c>
      <c r="CC43" s="785">
        <v>218</v>
      </c>
      <c r="CD43" s="785">
        <v>247</v>
      </c>
      <c r="CE43" s="792">
        <v>0.46881720430107526</v>
      </c>
      <c r="CF43" s="786">
        <v>-5.31</v>
      </c>
      <c r="CG43" s="801">
        <v>-5.6179092088197145</v>
      </c>
      <c r="CH43" s="793">
        <v>2.3631047429053345</v>
      </c>
      <c r="CI43" s="793">
        <v>2.6199639540906974</v>
      </c>
      <c r="CJ43" s="793">
        <v>31.516625212443977</v>
      </c>
      <c r="CK43" s="793">
        <v>28.819603494997668</v>
      </c>
      <c r="CL43" s="793">
        <v>63.315795557191848</v>
      </c>
      <c r="CM43" s="793">
        <v>56.945687119794862</v>
      </c>
      <c r="CN43" s="789">
        <v>-12.206684312883368</v>
      </c>
      <c r="CO43" s="798">
        <v>92</v>
      </c>
      <c r="CP43" s="798">
        <v>102</v>
      </c>
      <c r="CQ43" s="798">
        <v>1135</v>
      </c>
      <c r="CR43" s="798">
        <v>1020</v>
      </c>
      <c r="CS43" s="798">
        <v>524</v>
      </c>
      <c r="CT43" s="798">
        <v>460</v>
      </c>
      <c r="CU43" s="798">
        <v>635</v>
      </c>
      <c r="CV43" s="798">
        <v>714</v>
      </c>
      <c r="CW43" s="785">
        <v>9</v>
      </c>
      <c r="CX43" s="785">
        <v>6</v>
      </c>
      <c r="CY43" s="798">
        <v>-3</v>
      </c>
      <c r="CZ43" s="793">
        <v>0.86968192188963256</v>
      </c>
      <c r="DA43" s="793">
        <v>0.57978794792642163</v>
      </c>
      <c r="DB43" s="793">
        <v>-0.28989397396321082</v>
      </c>
      <c r="DC43" s="787">
        <v>19</v>
      </c>
      <c r="DD43" s="787">
        <v>23</v>
      </c>
      <c r="DE43" s="794">
        <v>21.63</v>
      </c>
      <c r="DF43" s="794">
        <v>23.56</v>
      </c>
      <c r="DG43" s="794">
        <v>23.86</v>
      </c>
      <c r="DH43" s="794">
        <v>23.05</v>
      </c>
      <c r="DI43" s="787">
        <v>12</v>
      </c>
      <c r="DJ43" s="787">
        <v>11</v>
      </c>
      <c r="DK43" s="792">
        <v>0.52173913043478259</v>
      </c>
      <c r="DL43" s="798">
        <v>17</v>
      </c>
      <c r="DM43" s="798">
        <v>8</v>
      </c>
      <c r="DN43" s="787">
        <v>3</v>
      </c>
      <c r="DO43" s="787">
        <v>0</v>
      </c>
      <c r="DP43" s="787">
        <v>0.17599999999999999</v>
      </c>
      <c r="DQ43" s="787">
        <v>0</v>
      </c>
      <c r="DR43" s="787">
        <v>0</v>
      </c>
      <c r="DS43" s="787">
        <v>0</v>
      </c>
      <c r="DT43" s="787">
        <v>3</v>
      </c>
      <c r="DU43" s="802">
        <v>2</v>
      </c>
      <c r="DV43" s="787">
        <v>0</v>
      </c>
      <c r="DW43" s="787">
        <v>0</v>
      </c>
      <c r="DX43" s="787">
        <v>0</v>
      </c>
      <c r="DY43" s="787">
        <v>0</v>
      </c>
      <c r="DZ43" s="787">
        <v>0</v>
      </c>
      <c r="EA43" s="787">
        <v>0</v>
      </c>
    </row>
    <row r="44" spans="1:131" ht="26.25" x14ac:dyDescent="0.25">
      <c r="A44" s="806" t="s">
        <v>284</v>
      </c>
      <c r="B44" s="806" t="s">
        <v>285</v>
      </c>
      <c r="C44" s="814" t="s">
        <v>286</v>
      </c>
      <c r="D44" s="804" t="s">
        <v>189</v>
      </c>
      <c r="E44" s="806" t="s">
        <v>137</v>
      </c>
      <c r="F44" s="941">
        <f>12/30</f>
        <v>0.4</v>
      </c>
      <c r="G44" s="941" t="s">
        <v>463</v>
      </c>
      <c r="H44" s="941">
        <f>25/39</f>
        <v>0.64102564102564108</v>
      </c>
      <c r="I44" s="806">
        <v>30</v>
      </c>
      <c r="J44" s="806">
        <v>4</v>
      </c>
      <c r="K44" s="806">
        <v>8</v>
      </c>
      <c r="L44" s="815">
        <v>12</v>
      </c>
      <c r="M44" s="809">
        <v>1.9726027397260273</v>
      </c>
      <c r="N44" s="804">
        <v>4</v>
      </c>
      <c r="O44" s="804">
        <v>5</v>
      </c>
      <c r="P44" s="804">
        <v>3</v>
      </c>
      <c r="Q44" s="804">
        <v>38</v>
      </c>
      <c r="R44" s="804">
        <v>12</v>
      </c>
      <c r="S44" s="804">
        <v>18</v>
      </c>
      <c r="T44" s="804">
        <v>46</v>
      </c>
      <c r="U44" s="807">
        <v>0.10526315789473684</v>
      </c>
      <c r="V44" s="807">
        <v>5.8823529411764705E-2</v>
      </c>
      <c r="W44" s="808">
        <v>365</v>
      </c>
      <c r="X44" s="808">
        <v>12.166666666666666</v>
      </c>
      <c r="Y44" s="808">
        <v>373.65</v>
      </c>
      <c r="Z44" s="808">
        <v>12.455</v>
      </c>
      <c r="AA44" s="808">
        <v>1074.76</v>
      </c>
      <c r="AB44" s="808">
        <v>35.825333333333333</v>
      </c>
      <c r="AC44" s="811">
        <v>0.25797253540088788</v>
      </c>
      <c r="AD44" s="810">
        <v>59.285714285714292</v>
      </c>
      <c r="AE44" s="803">
        <v>7</v>
      </c>
      <c r="AF44" s="804">
        <v>71</v>
      </c>
      <c r="AG44" s="804">
        <v>39</v>
      </c>
      <c r="AH44" s="804">
        <v>9</v>
      </c>
      <c r="AI44" s="804">
        <v>13</v>
      </c>
      <c r="AJ44" s="807">
        <v>0.2857142857142857</v>
      </c>
      <c r="AK44" s="807">
        <v>0.5714285714285714</v>
      </c>
      <c r="AL44" s="807">
        <v>0.8571428571428571</v>
      </c>
      <c r="AM44" s="804">
        <v>97</v>
      </c>
      <c r="AN44" s="811">
        <v>0.27953890489913547</v>
      </c>
      <c r="AO44" s="804">
        <v>133</v>
      </c>
      <c r="AP44" s="811">
        <v>0.38328530259365995</v>
      </c>
      <c r="AQ44" s="804">
        <v>117</v>
      </c>
      <c r="AR44" s="811">
        <v>0.33717579250720459</v>
      </c>
      <c r="AS44" s="811">
        <v>0.42173913043478262</v>
      </c>
      <c r="AT44" s="804">
        <v>2</v>
      </c>
      <c r="AU44" s="805">
        <v>-9.0299999999999994</v>
      </c>
      <c r="AV44" s="816">
        <v>113</v>
      </c>
      <c r="AW44" s="816">
        <v>133</v>
      </c>
      <c r="AX44" s="816">
        <v>97</v>
      </c>
      <c r="AY44" s="811">
        <v>0.45934959349593496</v>
      </c>
      <c r="AZ44" s="812">
        <v>17.05</v>
      </c>
      <c r="BA44" s="817">
        <v>11</v>
      </c>
      <c r="BB44" s="816">
        <v>0.34500000000000003</v>
      </c>
      <c r="BC44" s="804">
        <v>8</v>
      </c>
      <c r="BD44" s="818">
        <v>-0.314</v>
      </c>
      <c r="BE44" s="808">
        <v>49.91</v>
      </c>
      <c r="BF44" s="812">
        <v>17.37</v>
      </c>
      <c r="BG44" s="818">
        <v>-4.03</v>
      </c>
      <c r="BH44" s="818">
        <v>-4.8319999999999999</v>
      </c>
      <c r="BI44" s="808">
        <v>48.98</v>
      </c>
      <c r="BJ44" s="811">
        <v>8.4337349397590355E-2</v>
      </c>
      <c r="BK44" s="819">
        <v>0.91397849462365588</v>
      </c>
      <c r="BL44" s="817">
        <v>998.31584402124633</v>
      </c>
      <c r="BM44" s="811">
        <v>-1.6841559787537652E-3</v>
      </c>
      <c r="BN44" s="812">
        <v>2.2480931352870335</v>
      </c>
      <c r="BO44" s="812">
        <v>2.5692492974708951</v>
      </c>
      <c r="BP44" s="808">
        <v>26.655961461260539</v>
      </c>
      <c r="BQ44" s="808">
        <v>29.867523083099162</v>
      </c>
      <c r="BR44" s="808">
        <v>48.494580489763152</v>
      </c>
      <c r="BS44" s="808">
        <v>53.15134484142915</v>
      </c>
      <c r="BT44" s="808">
        <v>-4.6567643516659984</v>
      </c>
      <c r="BU44" s="804">
        <v>14</v>
      </c>
      <c r="BV44" s="804">
        <v>16</v>
      </c>
      <c r="BW44" s="817">
        <v>152</v>
      </c>
      <c r="BX44" s="817">
        <v>170</v>
      </c>
      <c r="BY44" s="817">
        <v>58</v>
      </c>
      <c r="BZ44" s="817">
        <v>56</v>
      </c>
      <c r="CA44" s="817">
        <v>89</v>
      </c>
      <c r="CB44" s="817">
        <v>78</v>
      </c>
      <c r="CC44" s="804">
        <v>154</v>
      </c>
      <c r="CD44" s="804">
        <v>172</v>
      </c>
      <c r="CE44" s="811">
        <v>0.47239263803680981</v>
      </c>
      <c r="CF44" s="805">
        <v>-2.4500000000000002</v>
      </c>
      <c r="CG44" s="820">
        <v>1.6494965178992196</v>
      </c>
      <c r="CH44" s="812">
        <v>3.1262793553909711</v>
      </c>
      <c r="CI44" s="812">
        <v>2.9588001042093119</v>
      </c>
      <c r="CJ44" s="812">
        <v>32.825933231605198</v>
      </c>
      <c r="CK44" s="812">
        <v>29.978785961516991</v>
      </c>
      <c r="CL44" s="812">
        <v>57.83616807473296</v>
      </c>
      <c r="CM44" s="812">
        <v>54.598235885220888</v>
      </c>
      <c r="CN44" s="808">
        <v>-7.894696541178071</v>
      </c>
      <c r="CO44" s="817">
        <v>56</v>
      </c>
      <c r="CP44" s="817">
        <v>53</v>
      </c>
      <c r="CQ44" s="817">
        <v>532</v>
      </c>
      <c r="CR44" s="817">
        <v>484</v>
      </c>
      <c r="CS44" s="817">
        <v>197</v>
      </c>
      <c r="CT44" s="817">
        <v>188</v>
      </c>
      <c r="CU44" s="817">
        <v>253</v>
      </c>
      <c r="CV44" s="817">
        <v>251</v>
      </c>
      <c r="CW44" s="804">
        <v>4</v>
      </c>
      <c r="CX44" s="804">
        <v>0</v>
      </c>
      <c r="CY44" s="817">
        <v>-4</v>
      </c>
      <c r="CZ44" s="812">
        <v>0.65753424657534243</v>
      </c>
      <c r="DA44" s="812">
        <v>0</v>
      </c>
      <c r="DB44" s="812">
        <v>-0.65753424657534243</v>
      </c>
      <c r="DC44" s="806">
        <v>15</v>
      </c>
      <c r="DD44" s="806">
        <v>16</v>
      </c>
      <c r="DE44" s="813">
        <v>13.68</v>
      </c>
      <c r="DF44" s="813">
        <v>14.82</v>
      </c>
      <c r="DG44" s="813">
        <v>13.02</v>
      </c>
      <c r="DH44" s="813">
        <v>15.37</v>
      </c>
      <c r="DI44" s="806">
        <v>0</v>
      </c>
      <c r="DJ44" s="806">
        <v>0</v>
      </c>
      <c r="DK44" s="811" t="s">
        <v>161</v>
      </c>
      <c r="DL44" s="817"/>
      <c r="DM44" s="817"/>
      <c r="DN44" s="804"/>
      <c r="DO44" s="804"/>
      <c r="DP44" s="804"/>
      <c r="DQ44" s="804"/>
      <c r="DR44" s="804"/>
      <c r="DS44" s="804"/>
      <c r="DT44" s="822"/>
      <c r="DU44" s="821"/>
      <c r="DV44" s="806"/>
      <c r="DW44" s="806"/>
      <c r="DX44" s="806"/>
      <c r="DY44" s="806"/>
      <c r="DZ44" s="806"/>
      <c r="EA44" s="804"/>
    </row>
    <row r="45" spans="1:131" ht="26.25" x14ac:dyDescent="0.25">
      <c r="A45" s="826" t="s">
        <v>346</v>
      </c>
      <c r="B45" s="826" t="s">
        <v>299</v>
      </c>
      <c r="C45" s="834" t="s">
        <v>347</v>
      </c>
      <c r="D45" s="824" t="s">
        <v>348</v>
      </c>
      <c r="E45" s="826" t="s">
        <v>132</v>
      </c>
      <c r="F45" s="941">
        <f>12/55</f>
        <v>0.21818181818181817</v>
      </c>
      <c r="G45" s="941" t="s">
        <v>458</v>
      </c>
      <c r="H45" s="941">
        <f>34/47</f>
        <v>0.72340425531914898</v>
      </c>
      <c r="I45" s="826">
        <v>55</v>
      </c>
      <c r="J45" s="826">
        <v>3</v>
      </c>
      <c r="K45" s="826">
        <v>9</v>
      </c>
      <c r="L45" s="835">
        <v>12</v>
      </c>
      <c r="M45" s="829">
        <v>1.1905418067573617</v>
      </c>
      <c r="N45" s="824">
        <v>2</v>
      </c>
      <c r="O45" s="824">
        <v>4</v>
      </c>
      <c r="P45" s="824">
        <v>5</v>
      </c>
      <c r="Q45" s="824">
        <v>57</v>
      </c>
      <c r="R45" s="824">
        <v>24</v>
      </c>
      <c r="S45" s="824">
        <v>20</v>
      </c>
      <c r="T45" s="824">
        <v>69</v>
      </c>
      <c r="U45" s="827">
        <v>5.2631578947368418E-2</v>
      </c>
      <c r="V45" s="827">
        <v>2.9702970297029702E-2</v>
      </c>
      <c r="W45" s="828">
        <v>604.76666666669996</v>
      </c>
      <c r="X45" s="828">
        <v>10.995757575758182</v>
      </c>
      <c r="Y45" s="828">
        <v>591.65</v>
      </c>
      <c r="Z45" s="828">
        <v>10.757272727272726</v>
      </c>
      <c r="AA45" s="828">
        <v>2049.6799999999998</v>
      </c>
      <c r="AB45" s="828">
        <v>37.266909090909088</v>
      </c>
      <c r="AC45" s="831">
        <v>0.22399700151060259</v>
      </c>
      <c r="AD45" s="830">
        <v>57.599999999999994</v>
      </c>
      <c r="AE45" s="823">
        <v>35</v>
      </c>
      <c r="AF45" s="824">
        <v>69</v>
      </c>
      <c r="AG45" s="824">
        <v>75</v>
      </c>
      <c r="AH45" s="824">
        <v>9</v>
      </c>
      <c r="AI45" s="824">
        <v>20</v>
      </c>
      <c r="AJ45" s="827">
        <v>0.2</v>
      </c>
      <c r="AK45" s="827">
        <v>0.6</v>
      </c>
      <c r="AL45" s="827">
        <v>0.8</v>
      </c>
      <c r="AM45" s="824">
        <v>179</v>
      </c>
      <c r="AN45" s="831">
        <v>0.29635761589403975</v>
      </c>
      <c r="AO45" s="824">
        <v>226</v>
      </c>
      <c r="AP45" s="831">
        <v>0.3741721854304636</v>
      </c>
      <c r="AQ45" s="824">
        <v>199</v>
      </c>
      <c r="AR45" s="831">
        <v>0.32947019867549671</v>
      </c>
      <c r="AS45" s="831">
        <v>0.44197530864197532</v>
      </c>
      <c r="AT45" s="824">
        <v>5</v>
      </c>
      <c r="AU45" s="825">
        <v>-0.42</v>
      </c>
      <c r="AV45" s="836">
        <v>204</v>
      </c>
      <c r="AW45" s="836">
        <v>225</v>
      </c>
      <c r="AX45" s="836">
        <v>181</v>
      </c>
      <c r="AY45" s="831">
        <v>0.47552447552447552</v>
      </c>
      <c r="AZ45" s="832">
        <v>16.93</v>
      </c>
      <c r="BA45" s="837">
        <v>9</v>
      </c>
      <c r="BB45" s="836">
        <v>-3.2000000000000001E-2</v>
      </c>
      <c r="BC45" s="824">
        <v>8</v>
      </c>
      <c r="BD45" s="838">
        <v>1.841</v>
      </c>
      <c r="BE45" s="828">
        <v>50.36</v>
      </c>
      <c r="BF45" s="832">
        <v>17.37</v>
      </c>
      <c r="BG45" s="838">
        <v>-1.7370000000000001</v>
      </c>
      <c r="BH45" s="838">
        <v>-16.157</v>
      </c>
      <c r="BI45" s="828">
        <v>43.38</v>
      </c>
      <c r="BJ45" s="831">
        <v>6.9444444444444448E-2</v>
      </c>
      <c r="BK45" s="839">
        <v>0.91638795986622068</v>
      </c>
      <c r="BL45" s="837">
        <v>985.83240431066508</v>
      </c>
      <c r="BM45" s="831">
        <v>-1.4167595689334872E-2</v>
      </c>
      <c r="BN45" s="832">
        <v>1.5211696104115608</v>
      </c>
      <c r="BO45" s="832">
        <v>2.5352826840192684</v>
      </c>
      <c r="BP45" s="828">
        <v>21.904842389926475</v>
      </c>
      <c r="BQ45" s="828">
        <v>30.321980900870447</v>
      </c>
      <c r="BR45" s="828">
        <v>42.187103862080626</v>
      </c>
      <c r="BS45" s="828">
        <v>63.483478407842469</v>
      </c>
      <c r="BT45" s="828">
        <v>-21.296374545761843</v>
      </c>
      <c r="BU45" s="824">
        <v>15</v>
      </c>
      <c r="BV45" s="824">
        <v>25</v>
      </c>
      <c r="BW45" s="837">
        <v>201</v>
      </c>
      <c r="BX45" s="837">
        <v>274</v>
      </c>
      <c r="BY45" s="837">
        <v>78</v>
      </c>
      <c r="BZ45" s="837">
        <v>127</v>
      </c>
      <c r="CA45" s="837">
        <v>200</v>
      </c>
      <c r="CB45" s="837">
        <v>122</v>
      </c>
      <c r="CC45" s="824">
        <v>200</v>
      </c>
      <c r="CD45" s="824">
        <v>296</v>
      </c>
      <c r="CE45" s="831">
        <v>0.40322580645161288</v>
      </c>
      <c r="CF45" s="825">
        <v>-5.85</v>
      </c>
      <c r="CG45" s="840">
        <v>-1.9957819531692493</v>
      </c>
      <c r="CH45" s="832">
        <v>2.6345575894773821</v>
      </c>
      <c r="CI45" s="832">
        <v>2.5760118652667736</v>
      </c>
      <c r="CJ45" s="832">
        <v>27.66285468951251</v>
      </c>
      <c r="CK45" s="832">
        <v>32.814878420046057</v>
      </c>
      <c r="CL45" s="832">
        <v>49.617501268490692</v>
      </c>
      <c r="CM45" s="832">
        <v>63.4635650442996</v>
      </c>
      <c r="CN45" s="828">
        <v>-7.4503107699529352</v>
      </c>
      <c r="CO45" s="837">
        <v>90</v>
      </c>
      <c r="CP45" s="837">
        <v>88</v>
      </c>
      <c r="CQ45" s="837">
        <v>855</v>
      </c>
      <c r="CR45" s="837">
        <v>1033</v>
      </c>
      <c r="CS45" s="837">
        <v>328</v>
      </c>
      <c r="CT45" s="837">
        <v>447</v>
      </c>
      <c r="CU45" s="837">
        <v>600</v>
      </c>
      <c r="CV45" s="837">
        <v>422</v>
      </c>
      <c r="CW45" s="824">
        <v>4</v>
      </c>
      <c r="CX45" s="824">
        <v>7</v>
      </c>
      <c r="CY45" s="837">
        <v>3</v>
      </c>
      <c r="CZ45" s="832">
        <v>0.39684726891912053</v>
      </c>
      <c r="DA45" s="832">
        <v>0.69448272060846095</v>
      </c>
      <c r="DB45" s="832">
        <v>0.29763545168934041</v>
      </c>
      <c r="DC45" s="826">
        <v>18</v>
      </c>
      <c r="DD45" s="826">
        <v>23</v>
      </c>
      <c r="DE45" s="833">
        <v>22.95</v>
      </c>
      <c r="DF45" s="833">
        <v>23.15</v>
      </c>
      <c r="DG45" s="833">
        <v>18.3</v>
      </c>
      <c r="DH45" s="833">
        <v>24.79</v>
      </c>
      <c r="DI45" s="826">
        <v>0</v>
      </c>
      <c r="DJ45" s="826">
        <v>3</v>
      </c>
      <c r="DK45" s="831">
        <v>0</v>
      </c>
      <c r="DL45" s="837">
        <v>1</v>
      </c>
      <c r="DM45" s="837">
        <v>0</v>
      </c>
      <c r="DN45" s="826">
        <v>0</v>
      </c>
      <c r="DO45" s="826">
        <v>0</v>
      </c>
      <c r="DP45" s="826">
        <v>0</v>
      </c>
      <c r="DQ45" s="826">
        <v>0</v>
      </c>
      <c r="DR45" s="826">
        <v>0</v>
      </c>
      <c r="DS45" s="826">
        <v>0</v>
      </c>
      <c r="DT45" s="826">
        <v>2</v>
      </c>
      <c r="DU45" s="841">
        <v>0</v>
      </c>
      <c r="DV45" s="826">
        <v>0</v>
      </c>
      <c r="DW45" s="826">
        <v>0</v>
      </c>
      <c r="DX45" s="826">
        <v>0</v>
      </c>
      <c r="DY45" s="826">
        <v>0</v>
      </c>
      <c r="DZ45" s="826">
        <v>0</v>
      </c>
      <c r="EA45" s="826">
        <v>0</v>
      </c>
    </row>
    <row r="46" spans="1:131" ht="26.25" x14ac:dyDescent="0.25">
      <c r="A46" s="845" t="s">
        <v>349</v>
      </c>
      <c r="B46" s="845" t="s">
        <v>304</v>
      </c>
      <c r="C46" s="853" t="s">
        <v>350</v>
      </c>
      <c r="D46" s="843" t="s">
        <v>185</v>
      </c>
      <c r="E46" s="845" t="s">
        <v>155</v>
      </c>
      <c r="F46" s="941">
        <f>10/30</f>
        <v>0.33333333333333331</v>
      </c>
      <c r="G46" s="941" t="s">
        <v>456</v>
      </c>
      <c r="H46" s="941">
        <f>50/69</f>
        <v>0.72463768115942029</v>
      </c>
      <c r="I46" s="845">
        <v>30</v>
      </c>
      <c r="J46" s="845">
        <v>5</v>
      </c>
      <c r="K46" s="845">
        <v>2</v>
      </c>
      <c r="L46" s="854">
        <v>7</v>
      </c>
      <c r="M46" s="848">
        <v>1.1998857251691457</v>
      </c>
      <c r="N46" s="843">
        <v>5</v>
      </c>
      <c r="O46" s="843">
        <v>1</v>
      </c>
      <c r="P46" s="843">
        <v>1</v>
      </c>
      <c r="Q46" s="843">
        <v>28</v>
      </c>
      <c r="R46" s="843">
        <v>16</v>
      </c>
      <c r="S46" s="843">
        <v>14</v>
      </c>
      <c r="T46" s="843">
        <v>33</v>
      </c>
      <c r="U46" s="846">
        <v>0.17857142857142858</v>
      </c>
      <c r="V46" s="846">
        <v>8.6206896551724144E-2</v>
      </c>
      <c r="W46" s="847">
        <v>350.03333333329999</v>
      </c>
      <c r="X46" s="847">
        <v>11.667777777776667</v>
      </c>
      <c r="Y46" s="847">
        <v>341.39</v>
      </c>
      <c r="Z46" s="847">
        <v>11.379666666666667</v>
      </c>
      <c r="AA46" s="847">
        <v>1158.33</v>
      </c>
      <c r="AB46" s="847">
        <v>38.610999999999997</v>
      </c>
      <c r="AC46" s="850">
        <v>0.22763582535406612</v>
      </c>
      <c r="AD46" s="849">
        <v>14.399999999999999</v>
      </c>
      <c r="AE46" s="842">
        <v>13</v>
      </c>
      <c r="AF46" s="843">
        <v>14</v>
      </c>
      <c r="AG46" s="843">
        <v>39</v>
      </c>
      <c r="AH46" s="843">
        <v>6</v>
      </c>
      <c r="AI46" s="843">
        <v>11</v>
      </c>
      <c r="AJ46" s="846">
        <v>0.5</v>
      </c>
      <c r="AK46" s="846">
        <v>0.2</v>
      </c>
      <c r="AL46" s="846">
        <v>0.7</v>
      </c>
      <c r="AM46" s="843">
        <v>105</v>
      </c>
      <c r="AN46" s="850">
        <v>0.36971830985915494</v>
      </c>
      <c r="AO46" s="843">
        <v>98</v>
      </c>
      <c r="AP46" s="850">
        <v>0.34507042253521125</v>
      </c>
      <c r="AQ46" s="843">
        <v>81</v>
      </c>
      <c r="AR46" s="850">
        <v>0.28521126760563381</v>
      </c>
      <c r="AS46" s="850">
        <v>0.51724137931034486</v>
      </c>
      <c r="AT46" s="843">
        <v>8</v>
      </c>
      <c r="AU46" s="844">
        <v>0.69</v>
      </c>
      <c r="AV46" s="855">
        <v>118</v>
      </c>
      <c r="AW46" s="855">
        <v>138</v>
      </c>
      <c r="AX46" s="855">
        <v>99</v>
      </c>
      <c r="AY46" s="850">
        <v>0.4609375</v>
      </c>
      <c r="AZ46" s="851">
        <v>17.45</v>
      </c>
      <c r="BA46" s="856">
        <v>5</v>
      </c>
      <c r="BB46" s="855">
        <v>-0.28400000000000003</v>
      </c>
      <c r="BC46" s="843">
        <v>13</v>
      </c>
      <c r="BD46" s="857">
        <v>-1.254</v>
      </c>
      <c r="BE46" s="847">
        <v>49.37</v>
      </c>
      <c r="BF46" s="851">
        <v>18.32</v>
      </c>
      <c r="BG46" s="857">
        <v>-0.55000000000000004</v>
      </c>
      <c r="BH46" s="857">
        <v>3.581</v>
      </c>
      <c r="BI46" s="847">
        <v>52.89</v>
      </c>
      <c r="BJ46" s="850">
        <v>6.9444444444444448E-2</v>
      </c>
      <c r="BK46" s="858">
        <v>0.93296089385474856</v>
      </c>
      <c r="BL46" s="856">
        <v>1002.405338299193</v>
      </c>
      <c r="BM46" s="850">
        <v>2.4053382991930106E-3</v>
      </c>
      <c r="BN46" s="851">
        <v>1.7575207240985384</v>
      </c>
      <c r="BO46" s="851">
        <v>2.109024868918246</v>
      </c>
      <c r="BP46" s="847">
        <v>25.308298427018954</v>
      </c>
      <c r="BQ46" s="847">
        <v>31.459620961363836</v>
      </c>
      <c r="BR46" s="847">
        <v>54.131638302234983</v>
      </c>
      <c r="BS46" s="847">
        <v>55.537654881513816</v>
      </c>
      <c r="BT46" s="847">
        <v>-1.4060165792788339</v>
      </c>
      <c r="BU46" s="843">
        <v>10</v>
      </c>
      <c r="BV46" s="843">
        <v>12</v>
      </c>
      <c r="BW46" s="856">
        <v>134</v>
      </c>
      <c r="BX46" s="856">
        <v>167</v>
      </c>
      <c r="BY46" s="856">
        <v>78</v>
      </c>
      <c r="BZ46" s="856">
        <v>65</v>
      </c>
      <c r="CA46" s="856">
        <v>72</v>
      </c>
      <c r="CB46" s="856">
        <v>86</v>
      </c>
      <c r="CC46" s="843">
        <v>131</v>
      </c>
      <c r="CD46" s="843">
        <v>155</v>
      </c>
      <c r="CE46" s="850">
        <v>0.45804195804195802</v>
      </c>
      <c r="CF46" s="844">
        <v>-8.77</v>
      </c>
      <c r="CG46" s="859">
        <v>-6.7448096827271105</v>
      </c>
      <c r="CH46" s="851">
        <v>2.434539379969439</v>
      </c>
      <c r="CI46" s="851">
        <v>2.0719484084846287</v>
      </c>
      <c r="CJ46" s="851">
        <v>29.836057082178655</v>
      </c>
      <c r="CK46" s="851">
        <v>28.592888037087878</v>
      </c>
      <c r="CL46" s="851">
        <v>56.771386392478831</v>
      </c>
      <c r="CM46" s="851">
        <v>50.659138587449171</v>
      </c>
      <c r="CN46" s="847">
        <v>-7.5182643843084946</v>
      </c>
      <c r="CO46" s="856">
        <v>47</v>
      </c>
      <c r="CP46" s="856">
        <v>40</v>
      </c>
      <c r="CQ46" s="856">
        <v>529</v>
      </c>
      <c r="CR46" s="856">
        <v>512</v>
      </c>
      <c r="CS46" s="856">
        <v>219</v>
      </c>
      <c r="CT46" s="856">
        <v>199</v>
      </c>
      <c r="CU46" s="856">
        <v>227</v>
      </c>
      <c r="CV46" s="856">
        <v>301</v>
      </c>
      <c r="CW46" s="843">
        <v>3</v>
      </c>
      <c r="CX46" s="843">
        <v>1</v>
      </c>
      <c r="CY46" s="856">
        <v>-2</v>
      </c>
      <c r="CZ46" s="851">
        <v>0.51423673935820535</v>
      </c>
      <c r="DA46" s="851">
        <v>0.17141224645273512</v>
      </c>
      <c r="DB46" s="851">
        <v>-0.34282449290547024</v>
      </c>
      <c r="DC46" s="845">
        <v>10</v>
      </c>
      <c r="DD46" s="845">
        <v>12</v>
      </c>
      <c r="DE46" s="852">
        <v>13.19</v>
      </c>
      <c r="DF46" s="852">
        <v>10.74</v>
      </c>
      <c r="DG46" s="852">
        <v>12.34</v>
      </c>
      <c r="DH46" s="852">
        <v>12.28</v>
      </c>
      <c r="DI46" s="845">
        <v>3</v>
      </c>
      <c r="DJ46" s="845">
        <v>5</v>
      </c>
      <c r="DK46" s="850">
        <v>0.375</v>
      </c>
      <c r="DL46" s="856">
        <v>6</v>
      </c>
      <c r="DM46" s="856">
        <v>3</v>
      </c>
      <c r="DN46" s="845">
        <v>2</v>
      </c>
      <c r="DO46" s="845">
        <v>0</v>
      </c>
      <c r="DP46" s="845">
        <v>0.33300000000000002</v>
      </c>
      <c r="DQ46" s="845">
        <v>0</v>
      </c>
      <c r="DR46" s="845">
        <v>0</v>
      </c>
      <c r="DS46" s="845">
        <v>0</v>
      </c>
      <c r="DT46" s="845">
        <v>1</v>
      </c>
      <c r="DU46" s="860">
        <v>0</v>
      </c>
      <c r="DV46" s="845">
        <v>0</v>
      </c>
      <c r="DW46" s="845">
        <v>0</v>
      </c>
      <c r="DX46" s="845">
        <v>0</v>
      </c>
      <c r="DY46" s="845">
        <v>0</v>
      </c>
      <c r="DZ46" s="845">
        <v>0</v>
      </c>
      <c r="EA46" s="845">
        <v>0</v>
      </c>
    </row>
    <row r="47" spans="1:131" ht="26.25" x14ac:dyDescent="0.25">
      <c r="A47" s="864" t="s">
        <v>351</v>
      </c>
      <c r="B47" s="864" t="s">
        <v>301</v>
      </c>
      <c r="C47" s="872" t="s">
        <v>352</v>
      </c>
      <c r="D47" s="862" t="s">
        <v>267</v>
      </c>
      <c r="E47" s="864" t="s">
        <v>160</v>
      </c>
      <c r="F47" s="941">
        <f>10/40</f>
        <v>0.25</v>
      </c>
      <c r="G47" s="941" t="s">
        <v>457</v>
      </c>
      <c r="H47" s="941">
        <f>20/41</f>
        <v>0.48780487804878048</v>
      </c>
      <c r="I47" s="864">
        <v>40</v>
      </c>
      <c r="J47" s="864">
        <v>2</v>
      </c>
      <c r="K47" s="864">
        <v>7</v>
      </c>
      <c r="L47" s="873">
        <v>9</v>
      </c>
      <c r="M47" s="867">
        <v>0.93071354705274034</v>
      </c>
      <c r="N47" s="862">
        <v>2</v>
      </c>
      <c r="O47" s="862">
        <v>5</v>
      </c>
      <c r="P47" s="862">
        <v>2</v>
      </c>
      <c r="Q47" s="862">
        <v>36</v>
      </c>
      <c r="R47" s="862">
        <v>17</v>
      </c>
      <c r="S47" s="862">
        <v>26</v>
      </c>
      <c r="T47" s="862">
        <v>22</v>
      </c>
      <c r="U47" s="865">
        <v>5.5555555555555552E-2</v>
      </c>
      <c r="V47" s="865">
        <v>2.5316455696202531E-2</v>
      </c>
      <c r="W47" s="866">
        <v>580.20000000000005</v>
      </c>
      <c r="X47" s="866">
        <v>14.505000000000001</v>
      </c>
      <c r="Y47" s="866">
        <v>572.96</v>
      </c>
      <c r="Z47" s="866">
        <v>14.324000000000002</v>
      </c>
      <c r="AA47" s="866">
        <v>1338.83</v>
      </c>
      <c r="AB47" s="866">
        <v>33.470749999999995</v>
      </c>
      <c r="AC47" s="869">
        <v>0.29969818860858155</v>
      </c>
      <c r="AD47" s="868">
        <v>50.769230769230774</v>
      </c>
      <c r="AE47" s="861">
        <v>34</v>
      </c>
      <c r="AF47" s="862">
        <v>46</v>
      </c>
      <c r="AG47" s="862">
        <v>70</v>
      </c>
      <c r="AH47" s="862">
        <v>14</v>
      </c>
      <c r="AI47" s="862">
        <v>9</v>
      </c>
      <c r="AJ47" s="865">
        <v>7.6923076923076927E-2</v>
      </c>
      <c r="AK47" s="865">
        <v>0.26923076923076922</v>
      </c>
      <c r="AL47" s="865">
        <v>0.34615384615384615</v>
      </c>
      <c r="AM47" s="862">
        <v>154</v>
      </c>
      <c r="AN47" s="869">
        <v>0.28360957642725598</v>
      </c>
      <c r="AO47" s="862">
        <v>161</v>
      </c>
      <c r="AP47" s="869">
        <v>0.2965009208103131</v>
      </c>
      <c r="AQ47" s="862">
        <v>228</v>
      </c>
      <c r="AR47" s="869">
        <v>0.41988950276243092</v>
      </c>
      <c r="AS47" s="869">
        <v>0.48888888888888887</v>
      </c>
      <c r="AT47" s="862">
        <v>4</v>
      </c>
      <c r="AU47" s="863">
        <v>-2.98</v>
      </c>
      <c r="AV47" s="874">
        <v>218</v>
      </c>
      <c r="AW47" s="874">
        <v>198</v>
      </c>
      <c r="AX47" s="874">
        <v>195</v>
      </c>
      <c r="AY47" s="869">
        <v>0.52403846153846156</v>
      </c>
      <c r="AZ47" s="870">
        <v>17.11</v>
      </c>
      <c r="BA47" s="875">
        <v>5</v>
      </c>
      <c r="BB47" s="874">
        <v>-0.27100000000000002</v>
      </c>
      <c r="BC47" s="862">
        <v>6</v>
      </c>
      <c r="BD47" s="876">
        <v>-0.74399999999999999</v>
      </c>
      <c r="BE47" s="866">
        <v>49.56</v>
      </c>
      <c r="BF47" s="870">
        <v>16.61</v>
      </c>
      <c r="BG47" s="876">
        <v>-1.276</v>
      </c>
      <c r="BH47" s="876">
        <v>0.74</v>
      </c>
      <c r="BI47" s="866">
        <v>50.79</v>
      </c>
      <c r="BJ47" s="869">
        <v>9.8484848484848481E-2</v>
      </c>
      <c r="BK47" s="877">
        <v>0.91338582677165359</v>
      </c>
      <c r="BL47" s="875">
        <v>1011.8706752565021</v>
      </c>
      <c r="BM47" s="869">
        <v>1.1870675256502067E-2</v>
      </c>
      <c r="BN47" s="870">
        <v>2.7227031555431442</v>
      </c>
      <c r="BO47" s="870">
        <v>2.303825746998045</v>
      </c>
      <c r="BP47" s="866">
        <v>27.645908963976538</v>
      </c>
      <c r="BQ47" s="866">
        <v>26.598715442613795</v>
      </c>
      <c r="BR47" s="866">
        <v>51.312482546774646</v>
      </c>
      <c r="BS47" s="866">
        <v>50.055850321139346</v>
      </c>
      <c r="BT47" s="866">
        <v>1.2566322256353004</v>
      </c>
      <c r="BU47" s="862">
        <v>26</v>
      </c>
      <c r="BV47" s="862">
        <v>22</v>
      </c>
      <c r="BW47" s="875">
        <v>238</v>
      </c>
      <c r="BX47" s="875">
        <v>232</v>
      </c>
      <c r="BY47" s="875">
        <v>105</v>
      </c>
      <c r="BZ47" s="875">
        <v>86</v>
      </c>
      <c r="CA47" s="875">
        <v>138</v>
      </c>
      <c r="CB47" s="875">
        <v>121</v>
      </c>
      <c r="CC47" s="862">
        <v>234</v>
      </c>
      <c r="CD47" s="862">
        <v>240</v>
      </c>
      <c r="CE47" s="869">
        <v>0.49367088607594939</v>
      </c>
      <c r="CF47" s="863">
        <v>-4.16</v>
      </c>
      <c r="CG47" s="878">
        <v>-5.0701107698031933E-2</v>
      </c>
      <c r="CH47" s="870">
        <v>2.4200234533137142</v>
      </c>
      <c r="CI47" s="870">
        <v>2.7337301972617887</v>
      </c>
      <c r="CJ47" s="870">
        <v>31.863642135297237</v>
      </c>
      <c r="CK47" s="870">
        <v>26.93396473039893</v>
      </c>
      <c r="CL47" s="870">
        <v>58.752791616560735</v>
      </c>
      <c r="CM47" s="870">
        <v>53.509407467714354</v>
      </c>
      <c r="CN47" s="866">
        <v>-3.9867519232110809</v>
      </c>
      <c r="CO47" s="875">
        <v>54</v>
      </c>
      <c r="CP47" s="875">
        <v>61</v>
      </c>
      <c r="CQ47" s="875">
        <v>657</v>
      </c>
      <c r="CR47" s="875">
        <v>540</v>
      </c>
      <c r="CS47" s="875">
        <v>255</v>
      </c>
      <c r="CT47" s="875">
        <v>246</v>
      </c>
      <c r="CU47" s="875">
        <v>347</v>
      </c>
      <c r="CV47" s="875">
        <v>345</v>
      </c>
      <c r="CW47" s="862">
        <v>3</v>
      </c>
      <c r="CX47" s="862">
        <v>1</v>
      </c>
      <c r="CY47" s="875">
        <v>-2</v>
      </c>
      <c r="CZ47" s="870">
        <v>0.31023784901758011</v>
      </c>
      <c r="DA47" s="870">
        <v>0.10341261633919337</v>
      </c>
      <c r="DB47" s="870">
        <v>-0.20682523267838673</v>
      </c>
      <c r="DC47" s="864">
        <v>19</v>
      </c>
      <c r="DD47" s="864">
        <v>20</v>
      </c>
      <c r="DE47" s="871">
        <v>23.25</v>
      </c>
      <c r="DF47" s="871">
        <v>20.81</v>
      </c>
      <c r="DG47" s="871">
        <v>21.56</v>
      </c>
      <c r="DH47" s="871">
        <v>18.38</v>
      </c>
      <c r="DI47" s="862"/>
      <c r="DJ47" s="862"/>
      <c r="DK47" s="869" t="s">
        <v>161</v>
      </c>
      <c r="DL47" s="875"/>
      <c r="DM47" s="875"/>
      <c r="DN47" s="862"/>
      <c r="DO47" s="862"/>
      <c r="DP47" s="862"/>
      <c r="DQ47" s="862"/>
      <c r="DR47" s="862"/>
      <c r="DS47" s="862"/>
      <c r="DT47" s="880"/>
      <c r="DU47" s="879"/>
      <c r="DV47" s="864"/>
      <c r="DW47" s="864"/>
      <c r="DX47" s="864"/>
      <c r="DY47" s="864"/>
      <c r="DZ47" s="864"/>
      <c r="EA47" s="862"/>
    </row>
    <row r="48" spans="1:131" ht="26.25" x14ac:dyDescent="0.25">
      <c r="A48" s="884" t="s">
        <v>353</v>
      </c>
      <c r="B48" s="884" t="s">
        <v>307</v>
      </c>
      <c r="C48" s="892" t="s">
        <v>354</v>
      </c>
      <c r="D48" s="882" t="s">
        <v>159</v>
      </c>
      <c r="E48" s="884" t="s">
        <v>160</v>
      </c>
      <c r="F48" s="941">
        <f>10/51</f>
        <v>0.19607843137254902</v>
      </c>
      <c r="G48" s="941" t="s">
        <v>456</v>
      </c>
      <c r="H48" s="941">
        <f>21/68</f>
        <v>0.30882352941176472</v>
      </c>
      <c r="I48" s="884">
        <v>51</v>
      </c>
      <c r="J48" s="884">
        <v>0</v>
      </c>
      <c r="K48" s="884">
        <v>10</v>
      </c>
      <c r="L48" s="893">
        <v>10</v>
      </c>
      <c r="M48" s="887">
        <v>0.76013513513516728</v>
      </c>
      <c r="N48" s="882">
        <v>0</v>
      </c>
      <c r="O48" s="882">
        <v>3</v>
      </c>
      <c r="P48" s="882">
        <v>5</v>
      </c>
      <c r="Q48" s="882">
        <v>37</v>
      </c>
      <c r="R48" s="882">
        <v>21</v>
      </c>
      <c r="S48" s="882">
        <v>36</v>
      </c>
      <c r="T48" s="882">
        <v>33</v>
      </c>
      <c r="U48" s="885">
        <v>0</v>
      </c>
      <c r="V48" s="885">
        <v>0</v>
      </c>
      <c r="W48" s="886">
        <v>789.33333333329995</v>
      </c>
      <c r="X48" s="886">
        <v>15.477124183005881</v>
      </c>
      <c r="Y48" s="886">
        <v>763.84</v>
      </c>
      <c r="Z48" s="886">
        <v>14.977254901960785</v>
      </c>
      <c r="AA48" s="886">
        <v>1672.92</v>
      </c>
      <c r="AB48" s="886">
        <v>32.802352941176473</v>
      </c>
      <c r="AC48" s="889">
        <v>0.31346542129713229</v>
      </c>
      <c r="AD48" s="888">
        <v>33.454545454545453</v>
      </c>
      <c r="AE48" s="881">
        <v>54</v>
      </c>
      <c r="AF48" s="882">
        <v>38</v>
      </c>
      <c r="AG48" s="882">
        <v>89</v>
      </c>
      <c r="AH48" s="882">
        <v>35</v>
      </c>
      <c r="AI48" s="882">
        <v>15</v>
      </c>
      <c r="AJ48" s="885">
        <v>0</v>
      </c>
      <c r="AK48" s="885">
        <v>0.24242424242424243</v>
      </c>
      <c r="AL48" s="885">
        <v>0.24242424242424243</v>
      </c>
      <c r="AM48" s="882">
        <v>278</v>
      </c>
      <c r="AN48" s="889">
        <v>0.35101010101010099</v>
      </c>
      <c r="AO48" s="882">
        <v>209</v>
      </c>
      <c r="AP48" s="889">
        <v>0.2638888888888889</v>
      </c>
      <c r="AQ48" s="882">
        <v>305</v>
      </c>
      <c r="AR48" s="889">
        <v>0.38510101010101011</v>
      </c>
      <c r="AS48" s="889">
        <v>0.57084188911704314</v>
      </c>
      <c r="AT48" s="882">
        <v>7</v>
      </c>
      <c r="AU48" s="883">
        <v>8.17</v>
      </c>
      <c r="AV48" s="894">
        <v>294</v>
      </c>
      <c r="AW48" s="894">
        <v>287</v>
      </c>
      <c r="AX48" s="894">
        <v>276</v>
      </c>
      <c r="AY48" s="889">
        <v>0.50602409638554213</v>
      </c>
      <c r="AZ48" s="890">
        <v>17.309999999999999</v>
      </c>
      <c r="BA48" s="895">
        <v>5</v>
      </c>
      <c r="BB48" s="894">
        <v>0.51</v>
      </c>
      <c r="BC48" s="882">
        <v>4</v>
      </c>
      <c r="BD48" s="896">
        <v>-0.78600000000000003</v>
      </c>
      <c r="BE48" s="886">
        <v>49.68</v>
      </c>
      <c r="BF48" s="890">
        <v>16.260000000000002</v>
      </c>
      <c r="BG48" s="896">
        <v>-1.5089999999999999</v>
      </c>
      <c r="BH48" s="896">
        <v>3.919</v>
      </c>
      <c r="BI48" s="886">
        <v>50.94</v>
      </c>
      <c r="BJ48" s="889">
        <v>8.9673913043478257E-2</v>
      </c>
      <c r="BK48" s="897">
        <v>0.91005291005291</v>
      </c>
      <c r="BL48" s="895">
        <v>999.72682309638822</v>
      </c>
      <c r="BM48" s="889">
        <v>-2.7317690361174096E-4</v>
      </c>
      <c r="BN48" s="890">
        <v>2.5921658986175116</v>
      </c>
      <c r="BO48" s="890">
        <v>2.6707163803937997</v>
      </c>
      <c r="BP48" s="886">
        <v>28.906577293674065</v>
      </c>
      <c r="BQ48" s="886">
        <v>29.69208211143695</v>
      </c>
      <c r="BR48" s="886">
        <v>57.97025555090071</v>
      </c>
      <c r="BS48" s="886">
        <v>58.598659405111015</v>
      </c>
      <c r="BT48" s="886">
        <v>-0.62840385421030476</v>
      </c>
      <c r="BU48" s="882">
        <v>33</v>
      </c>
      <c r="BV48" s="882">
        <v>34</v>
      </c>
      <c r="BW48" s="895">
        <v>335</v>
      </c>
      <c r="BX48" s="895">
        <v>344</v>
      </c>
      <c r="BY48" s="895">
        <v>177</v>
      </c>
      <c r="BZ48" s="895">
        <v>174</v>
      </c>
      <c r="CA48" s="895">
        <v>194</v>
      </c>
      <c r="CB48" s="895">
        <v>193</v>
      </c>
      <c r="CC48" s="882">
        <v>371</v>
      </c>
      <c r="CD48" s="882">
        <v>355</v>
      </c>
      <c r="CE48" s="889">
        <v>0.51101928374655647</v>
      </c>
      <c r="CF48" s="883">
        <v>-5.14</v>
      </c>
      <c r="CG48" s="898">
        <v>-7.1236091930193393</v>
      </c>
      <c r="CH48" s="890">
        <v>2.8333691987662291</v>
      </c>
      <c r="CI48" s="890">
        <v>3.1561580948282044</v>
      </c>
      <c r="CJ48" s="890">
        <v>31.597446381177818</v>
      </c>
      <c r="CK48" s="890">
        <v>29.373789541639766</v>
      </c>
      <c r="CL48" s="890">
        <v>66.135858259809197</v>
      </c>
      <c r="CM48" s="890">
        <v>55.699017287138652</v>
      </c>
      <c r="CN48" s="886">
        <v>-11.06524482688085</v>
      </c>
      <c r="CO48" s="895">
        <v>79</v>
      </c>
      <c r="CP48" s="895">
        <v>88</v>
      </c>
      <c r="CQ48" s="895">
        <v>802</v>
      </c>
      <c r="CR48" s="895">
        <v>731</v>
      </c>
      <c r="CS48" s="895">
        <v>443</v>
      </c>
      <c r="CT48" s="895">
        <v>317</v>
      </c>
      <c r="CU48" s="895">
        <v>417</v>
      </c>
      <c r="CV48" s="895">
        <v>520</v>
      </c>
      <c r="CW48" s="882">
        <v>4</v>
      </c>
      <c r="CX48" s="882">
        <v>0</v>
      </c>
      <c r="CY48" s="895">
        <v>-4</v>
      </c>
      <c r="CZ48" s="890">
        <v>0.30405405405406694</v>
      </c>
      <c r="DA48" s="890">
        <v>0</v>
      </c>
      <c r="DB48" s="890">
        <v>-0.30405405405406694</v>
      </c>
      <c r="DC48" s="884">
        <v>30</v>
      </c>
      <c r="DD48" s="884">
        <v>29</v>
      </c>
      <c r="DE48" s="891">
        <v>34.24</v>
      </c>
      <c r="DF48" s="891">
        <v>33.729999999999997</v>
      </c>
      <c r="DG48" s="891">
        <v>32.340000000000003</v>
      </c>
      <c r="DH48" s="891">
        <v>29.18</v>
      </c>
      <c r="DI48" s="882"/>
      <c r="DJ48" s="882"/>
      <c r="DK48" s="889" t="s">
        <v>161</v>
      </c>
      <c r="DL48" s="895"/>
      <c r="DM48" s="895"/>
      <c r="DN48" s="882"/>
      <c r="DO48" s="882"/>
      <c r="DP48" s="882"/>
      <c r="DQ48" s="882"/>
      <c r="DR48" s="882"/>
      <c r="DS48" s="882"/>
      <c r="DT48" s="900"/>
      <c r="DU48" s="899"/>
      <c r="DV48" s="884"/>
      <c r="DW48" s="884"/>
      <c r="DX48" s="884"/>
      <c r="DY48" s="884"/>
      <c r="DZ48" s="884"/>
      <c r="EA48" s="882"/>
    </row>
    <row r="49" spans="1:131" ht="26.25" x14ac:dyDescent="0.25">
      <c r="A49" s="904" t="s">
        <v>355</v>
      </c>
      <c r="B49" s="904" t="s">
        <v>334</v>
      </c>
      <c r="C49" s="912" t="s">
        <v>356</v>
      </c>
      <c r="D49" s="904" t="s">
        <v>159</v>
      </c>
      <c r="E49" s="904" t="s">
        <v>132</v>
      </c>
      <c r="F49" s="941">
        <f>9/31</f>
        <v>0.29032258064516131</v>
      </c>
      <c r="G49" s="941" t="s">
        <v>456</v>
      </c>
      <c r="H49" s="941">
        <f>48/68</f>
        <v>0.70588235294117652</v>
      </c>
      <c r="I49" s="904">
        <v>31</v>
      </c>
      <c r="J49" s="904">
        <v>6</v>
      </c>
      <c r="K49" s="904">
        <v>2</v>
      </c>
      <c r="L49" s="913">
        <v>8</v>
      </c>
      <c r="M49" s="907">
        <v>1.3247470101197172</v>
      </c>
      <c r="N49" s="902">
        <v>6</v>
      </c>
      <c r="O49" s="902">
        <v>1</v>
      </c>
      <c r="P49" s="902">
        <v>1</v>
      </c>
      <c r="Q49" s="902">
        <v>60</v>
      </c>
      <c r="R49" s="902">
        <v>26</v>
      </c>
      <c r="S49" s="902">
        <v>27</v>
      </c>
      <c r="T49" s="902">
        <v>64</v>
      </c>
      <c r="U49" s="905">
        <v>0.1</v>
      </c>
      <c r="V49" s="905">
        <v>5.3097345132743362E-2</v>
      </c>
      <c r="W49" s="906">
        <v>362.3333333333</v>
      </c>
      <c r="X49" s="906">
        <v>11.688172043009677</v>
      </c>
      <c r="Y49" s="906">
        <v>351.34</v>
      </c>
      <c r="Z49" s="906">
        <v>11.333548387096773</v>
      </c>
      <c r="AA49" s="906">
        <v>1121.8800000000001</v>
      </c>
      <c r="AB49" s="906">
        <v>36.189677419354844</v>
      </c>
      <c r="AC49" s="909">
        <v>0.23848440830290107</v>
      </c>
      <c r="AD49" s="908">
        <v>13.923076923076923</v>
      </c>
      <c r="AE49" s="901">
        <v>5</v>
      </c>
      <c r="AF49" s="902">
        <v>88</v>
      </c>
      <c r="AG49" s="902">
        <v>36</v>
      </c>
      <c r="AH49" s="902">
        <v>10</v>
      </c>
      <c r="AI49" s="902">
        <v>7</v>
      </c>
      <c r="AJ49" s="905">
        <v>0.46153846153846156</v>
      </c>
      <c r="AK49" s="905">
        <v>0.15384615384615385</v>
      </c>
      <c r="AL49" s="905">
        <v>0.61538461538461542</v>
      </c>
      <c r="AM49" s="902">
        <v>113</v>
      </c>
      <c r="AN49" s="909">
        <v>0.32848837209302323</v>
      </c>
      <c r="AO49" s="902">
        <v>92</v>
      </c>
      <c r="AP49" s="909">
        <v>0.26744186046511625</v>
      </c>
      <c r="AQ49" s="902">
        <v>139</v>
      </c>
      <c r="AR49" s="909">
        <v>0.40406976744186046</v>
      </c>
      <c r="AS49" s="909">
        <v>0.551219512195122</v>
      </c>
      <c r="AT49" s="902">
        <v>11</v>
      </c>
      <c r="AU49" s="903">
        <v>5.05</v>
      </c>
      <c r="AV49" s="914">
        <v>140</v>
      </c>
      <c r="AW49" s="914">
        <v>141</v>
      </c>
      <c r="AX49" s="914">
        <v>109</v>
      </c>
      <c r="AY49" s="909">
        <v>0.49822064056939502</v>
      </c>
      <c r="AZ49" s="910">
        <v>17.22</v>
      </c>
      <c r="BA49" s="915">
        <v>10</v>
      </c>
      <c r="BB49" s="914">
        <v>0.41</v>
      </c>
      <c r="BC49" s="902">
        <v>8</v>
      </c>
      <c r="BD49" s="916">
        <v>-0.69</v>
      </c>
      <c r="BE49" s="906">
        <v>49.74</v>
      </c>
      <c r="BF49" s="910">
        <v>17.28</v>
      </c>
      <c r="BG49" s="916">
        <v>-0.24</v>
      </c>
      <c r="BH49" s="916">
        <v>4.7789999999999999</v>
      </c>
      <c r="BI49" s="906">
        <v>51.73</v>
      </c>
      <c r="BJ49" s="909">
        <v>7.18232044198895E-2</v>
      </c>
      <c r="BK49" s="917">
        <v>0.9337349397590361</v>
      </c>
      <c r="BL49" s="915">
        <v>1005.5581441789257</v>
      </c>
      <c r="BM49" s="909">
        <v>5.5581441789255975E-3</v>
      </c>
      <c r="BN49" s="910">
        <v>2.2200717253942051</v>
      </c>
      <c r="BO49" s="910">
        <v>1.8785222291797119</v>
      </c>
      <c r="BP49" s="906">
        <v>30.910229407411627</v>
      </c>
      <c r="BQ49" s="906">
        <v>28.348608185802927</v>
      </c>
      <c r="BR49" s="906">
        <v>62.332783059144987</v>
      </c>
      <c r="BS49" s="906">
        <v>49.524676951101505</v>
      </c>
      <c r="BT49" s="906">
        <v>12.808106108043482</v>
      </c>
      <c r="BU49" s="902">
        <v>13</v>
      </c>
      <c r="BV49" s="902">
        <v>11</v>
      </c>
      <c r="BW49" s="915">
        <v>168</v>
      </c>
      <c r="BX49" s="915">
        <v>155</v>
      </c>
      <c r="BY49" s="915">
        <v>79</v>
      </c>
      <c r="BZ49" s="915">
        <v>61</v>
      </c>
      <c r="CA49" s="915">
        <v>63</v>
      </c>
      <c r="CB49" s="915">
        <v>105</v>
      </c>
      <c r="CC49" s="902">
        <v>193</v>
      </c>
      <c r="CD49" s="902">
        <v>143</v>
      </c>
      <c r="CE49" s="909">
        <v>0.57440476190476186</v>
      </c>
      <c r="CF49" s="903">
        <v>1.49</v>
      </c>
      <c r="CG49" s="918">
        <v>6.019837815360555</v>
      </c>
      <c r="CH49" s="910">
        <v>3.1554176917317358</v>
      </c>
      <c r="CI49" s="910">
        <v>3.2088993475237988</v>
      </c>
      <c r="CJ49" s="910">
        <v>31.982030163653864</v>
      </c>
      <c r="CK49" s="910">
        <v>29.200984062466571</v>
      </c>
      <c r="CL49" s="910">
        <v>66.638143116910896</v>
      </c>
      <c r="CM49" s="910">
        <v>56.637073483795049</v>
      </c>
      <c r="CN49" s="906">
        <v>2.8070364749276351</v>
      </c>
      <c r="CO49" s="915">
        <v>59</v>
      </c>
      <c r="CP49" s="915">
        <v>60</v>
      </c>
      <c r="CQ49" s="915">
        <v>539</v>
      </c>
      <c r="CR49" s="915">
        <v>486</v>
      </c>
      <c r="CS49" s="915">
        <v>289</v>
      </c>
      <c r="CT49" s="915">
        <v>224</v>
      </c>
      <c r="CU49" s="915">
        <v>289</v>
      </c>
      <c r="CV49" s="915">
        <v>359</v>
      </c>
      <c r="CW49" s="902">
        <v>3</v>
      </c>
      <c r="CX49" s="902">
        <v>6</v>
      </c>
      <c r="CY49" s="915">
        <v>3</v>
      </c>
      <c r="CZ49" s="910">
        <v>0.49678012879489386</v>
      </c>
      <c r="DA49" s="910">
        <v>0.99356025758978772</v>
      </c>
      <c r="DB49" s="910">
        <v>0.49678012879489386</v>
      </c>
      <c r="DC49" s="904">
        <v>16</v>
      </c>
      <c r="DD49" s="904">
        <v>11</v>
      </c>
      <c r="DE49" s="911">
        <v>14.88</v>
      </c>
      <c r="DF49" s="911">
        <v>16.059999999999999</v>
      </c>
      <c r="DG49" s="911">
        <v>14.47</v>
      </c>
      <c r="DH49" s="911">
        <v>14</v>
      </c>
      <c r="DI49" s="904">
        <v>1</v>
      </c>
      <c r="DJ49" s="904">
        <v>3</v>
      </c>
      <c r="DK49" s="909">
        <v>0.25</v>
      </c>
      <c r="DL49" s="915">
        <v>2</v>
      </c>
      <c r="DM49" s="915">
        <v>0</v>
      </c>
      <c r="DN49" s="904">
        <v>0</v>
      </c>
      <c r="DO49" s="904">
        <v>0</v>
      </c>
      <c r="DP49" s="904">
        <v>0</v>
      </c>
      <c r="DQ49" s="904">
        <v>0</v>
      </c>
      <c r="DR49" s="904">
        <v>0</v>
      </c>
      <c r="DS49" s="904">
        <v>0</v>
      </c>
      <c r="DT49" s="902"/>
      <c r="DU49" s="915"/>
      <c r="DV49" s="902"/>
      <c r="DW49" s="902"/>
      <c r="DX49" s="902"/>
      <c r="DY49" s="902"/>
      <c r="DZ49" s="902"/>
      <c r="EA49" s="904"/>
    </row>
    <row r="50" spans="1:131" ht="39" x14ac:dyDescent="0.25">
      <c r="A50" s="922" t="s">
        <v>357</v>
      </c>
      <c r="B50" s="922" t="s">
        <v>343</v>
      </c>
      <c r="C50" s="930" t="s">
        <v>358</v>
      </c>
      <c r="D50" s="920" t="s">
        <v>359</v>
      </c>
      <c r="E50" s="922" t="s">
        <v>360</v>
      </c>
      <c r="F50" s="941">
        <f>9/34</f>
        <v>0.26470588235294118</v>
      </c>
      <c r="G50" s="941" t="s">
        <v>464</v>
      </c>
      <c r="H50" s="941">
        <f>44/49</f>
        <v>0.89795918367346939</v>
      </c>
      <c r="I50" s="922">
        <v>34</v>
      </c>
      <c r="J50" s="922">
        <v>4</v>
      </c>
      <c r="K50" s="922">
        <v>4</v>
      </c>
      <c r="L50" s="931">
        <v>8</v>
      </c>
      <c r="M50" s="925">
        <v>1.1760862463248265</v>
      </c>
      <c r="N50" s="920">
        <v>4</v>
      </c>
      <c r="O50" s="920">
        <v>3</v>
      </c>
      <c r="P50" s="920">
        <v>0</v>
      </c>
      <c r="Q50" s="920">
        <v>62</v>
      </c>
      <c r="R50" s="920">
        <v>11</v>
      </c>
      <c r="S50" s="920">
        <v>25</v>
      </c>
      <c r="T50" s="920">
        <v>58</v>
      </c>
      <c r="U50" s="923">
        <v>6.4516129032258063E-2</v>
      </c>
      <c r="V50" s="923">
        <v>4.0816326530612242E-2</v>
      </c>
      <c r="W50" s="924">
        <v>408.13333333330002</v>
      </c>
      <c r="X50" s="924">
        <v>12.00392156862647</v>
      </c>
      <c r="Y50" s="924">
        <v>400.58</v>
      </c>
      <c r="Z50" s="924">
        <v>11.781764705882352</v>
      </c>
      <c r="AA50" s="924">
        <v>1301.22</v>
      </c>
      <c r="AB50" s="924">
        <v>38.271176470588237</v>
      </c>
      <c r="AC50" s="927">
        <v>0.23538606181689975</v>
      </c>
      <c r="AD50" s="926">
        <v>60.545454545454547</v>
      </c>
      <c r="AE50" s="919">
        <v>14</v>
      </c>
      <c r="AF50" s="920">
        <v>11</v>
      </c>
      <c r="AG50" s="920">
        <v>28</v>
      </c>
      <c r="AH50" s="920">
        <v>15</v>
      </c>
      <c r="AI50" s="920">
        <v>11</v>
      </c>
      <c r="AJ50" s="923">
        <v>0.36363636363636365</v>
      </c>
      <c r="AK50" s="923">
        <v>0.27272727272727271</v>
      </c>
      <c r="AL50" s="923">
        <v>0.63636363636363635</v>
      </c>
      <c r="AM50" s="920">
        <v>129</v>
      </c>
      <c r="AN50" s="927">
        <v>0.36235955056179775</v>
      </c>
      <c r="AO50" s="920">
        <v>82</v>
      </c>
      <c r="AP50" s="927">
        <v>0.2303370786516854</v>
      </c>
      <c r="AQ50" s="920">
        <v>145</v>
      </c>
      <c r="AR50" s="927">
        <v>0.40730337078651685</v>
      </c>
      <c r="AS50" s="927">
        <v>0.61137440758293837</v>
      </c>
      <c r="AT50" s="920">
        <v>10</v>
      </c>
      <c r="AU50" s="921">
        <v>8.1300000000000008</v>
      </c>
      <c r="AV50" s="932">
        <v>145</v>
      </c>
      <c r="AW50" s="932">
        <v>127</v>
      </c>
      <c r="AX50" s="932">
        <v>111</v>
      </c>
      <c r="AY50" s="927">
        <v>0.53308823529411764</v>
      </c>
      <c r="AZ50" s="928">
        <v>17</v>
      </c>
      <c r="BA50" s="933">
        <v>11</v>
      </c>
      <c r="BB50" s="932">
        <v>-0.14300000000000002</v>
      </c>
      <c r="BC50" s="920">
        <v>9</v>
      </c>
      <c r="BD50" s="934">
        <v>0.45400000000000001</v>
      </c>
      <c r="BE50" s="924">
        <v>50.09</v>
      </c>
      <c r="BF50" s="928">
        <v>17.48</v>
      </c>
      <c r="BG50" s="934">
        <v>-0.48699999999999999</v>
      </c>
      <c r="BH50" s="934">
        <v>7.492</v>
      </c>
      <c r="BI50" s="924">
        <v>52.76</v>
      </c>
      <c r="BJ50" s="927">
        <v>4.954954954954955E-2</v>
      </c>
      <c r="BK50" s="935">
        <v>0.96296296296296291</v>
      </c>
      <c r="BL50" s="933">
        <v>1012.5125125125124</v>
      </c>
      <c r="BM50" s="927">
        <v>1.2512512512512459E-2</v>
      </c>
      <c r="BN50" s="928">
        <v>1.647610964102052</v>
      </c>
      <c r="BO50" s="928">
        <v>1.0484797044285787</v>
      </c>
      <c r="BP50" s="924">
        <v>33.251784911877778</v>
      </c>
      <c r="BQ50" s="924">
        <v>28.308952019571624</v>
      </c>
      <c r="BR50" s="924">
        <v>59.014429077837136</v>
      </c>
      <c r="BS50" s="924">
        <v>50.027460182735041</v>
      </c>
      <c r="BT50" s="924">
        <v>8.9869688951020947</v>
      </c>
      <c r="BU50" s="920">
        <v>11</v>
      </c>
      <c r="BV50" s="920">
        <v>7</v>
      </c>
      <c r="BW50" s="933">
        <v>211</v>
      </c>
      <c r="BX50" s="933">
        <v>182</v>
      </c>
      <c r="BY50" s="933">
        <v>73</v>
      </c>
      <c r="BZ50" s="933">
        <v>57</v>
      </c>
      <c r="CA50" s="933">
        <v>88</v>
      </c>
      <c r="CB50" s="933">
        <v>99</v>
      </c>
      <c r="CC50" s="920">
        <v>177</v>
      </c>
      <c r="CD50" s="920">
        <v>154</v>
      </c>
      <c r="CE50" s="927">
        <v>0.53474320241691842</v>
      </c>
      <c r="CF50" s="921">
        <v>2.35</v>
      </c>
      <c r="CG50" s="936">
        <v>-0.81401688688842633</v>
      </c>
      <c r="CH50" s="928">
        <v>2.5821920966477609</v>
      </c>
      <c r="CI50" s="928">
        <v>2.1210863651035181</v>
      </c>
      <c r="CJ50" s="928">
        <v>31.493521464471804</v>
      </c>
      <c r="CK50" s="928">
        <v>30.709641720846591</v>
      </c>
      <c r="CL50" s="928">
        <v>59.482639369207355</v>
      </c>
      <c r="CM50" s="928">
        <v>52.70438511550698</v>
      </c>
      <c r="CN50" s="924">
        <v>2.2087146414017198</v>
      </c>
      <c r="CO50" s="933">
        <v>56</v>
      </c>
      <c r="CP50" s="933">
        <v>46</v>
      </c>
      <c r="CQ50" s="933">
        <v>627</v>
      </c>
      <c r="CR50" s="933">
        <v>620</v>
      </c>
      <c r="CS50" s="933">
        <v>223</v>
      </c>
      <c r="CT50" s="933">
        <v>208</v>
      </c>
      <c r="CU50" s="933">
        <v>269</v>
      </c>
      <c r="CV50" s="933">
        <v>384</v>
      </c>
      <c r="CW50" s="920">
        <v>1</v>
      </c>
      <c r="CX50" s="920">
        <v>3</v>
      </c>
      <c r="CY50" s="933">
        <v>2</v>
      </c>
      <c r="CZ50" s="928">
        <v>0.14701078079060331</v>
      </c>
      <c r="DA50" s="928">
        <v>0.44103234237180994</v>
      </c>
      <c r="DB50" s="928">
        <v>0.29402156158120663</v>
      </c>
      <c r="DC50" s="922">
        <v>16</v>
      </c>
      <c r="DD50" s="922">
        <v>15</v>
      </c>
      <c r="DE50" s="929">
        <v>14.5</v>
      </c>
      <c r="DF50" s="929">
        <v>13.97</v>
      </c>
      <c r="DG50" s="929">
        <v>16.670000000000002</v>
      </c>
      <c r="DH50" s="929">
        <v>16.079999999999998</v>
      </c>
      <c r="DI50" s="922">
        <v>29</v>
      </c>
      <c r="DJ50" s="922">
        <v>30</v>
      </c>
      <c r="DK50" s="927">
        <v>0.49152542372881358</v>
      </c>
      <c r="DL50" s="933">
        <v>24</v>
      </c>
      <c r="DM50" s="933">
        <v>11</v>
      </c>
      <c r="DN50" s="922">
        <v>1</v>
      </c>
      <c r="DO50" s="922">
        <v>0</v>
      </c>
      <c r="DP50" s="922">
        <v>4.2000000000000003E-2</v>
      </c>
      <c r="DQ50" s="922">
        <v>0</v>
      </c>
      <c r="DR50" s="922">
        <v>0</v>
      </c>
      <c r="DS50" s="922">
        <v>0</v>
      </c>
      <c r="DT50" s="922">
        <v>9</v>
      </c>
      <c r="DU50" s="937">
        <v>6</v>
      </c>
      <c r="DV50" s="922">
        <v>0</v>
      </c>
      <c r="DW50" s="922">
        <v>1</v>
      </c>
      <c r="DX50" s="922">
        <v>-0.111</v>
      </c>
      <c r="DY50" s="922">
        <v>0</v>
      </c>
      <c r="DZ50" s="922">
        <v>0</v>
      </c>
      <c r="EA50" s="922">
        <v>0</v>
      </c>
    </row>
    <row r="51" spans="1:131" ht="26.25" x14ac:dyDescent="0.25">
      <c r="A51" s="941" t="s">
        <v>361</v>
      </c>
      <c r="B51" s="941" t="s">
        <v>297</v>
      </c>
      <c r="C51" s="949" t="s">
        <v>362</v>
      </c>
      <c r="D51" s="939" t="s">
        <v>236</v>
      </c>
      <c r="E51" s="941" t="s">
        <v>155</v>
      </c>
      <c r="F51" s="941">
        <f>9/37</f>
        <v>0.24324324324324326</v>
      </c>
      <c r="G51" s="941" t="s">
        <v>462</v>
      </c>
      <c r="H51" s="941">
        <f>105/64</f>
        <v>1.640625</v>
      </c>
      <c r="I51" s="941">
        <v>37</v>
      </c>
      <c r="J51" s="941">
        <v>1</v>
      </c>
      <c r="K51" s="941">
        <v>6</v>
      </c>
      <c r="L51" s="950">
        <v>7</v>
      </c>
      <c r="M51" s="944">
        <v>1.0469029122181086</v>
      </c>
      <c r="N51" s="939">
        <v>1</v>
      </c>
      <c r="O51" s="939">
        <v>6</v>
      </c>
      <c r="P51" s="939">
        <v>0</v>
      </c>
      <c r="Q51" s="939">
        <v>38</v>
      </c>
      <c r="R51" s="939">
        <v>14</v>
      </c>
      <c r="S51" s="939">
        <v>8</v>
      </c>
      <c r="T51" s="939">
        <v>31</v>
      </c>
      <c r="U51" s="942">
        <v>2.6315789473684209E-2</v>
      </c>
      <c r="V51" s="942">
        <v>1.6666666666666666E-2</v>
      </c>
      <c r="W51" s="943">
        <v>401.18333333330003</v>
      </c>
      <c r="X51" s="943">
        <v>10.842792792791892</v>
      </c>
      <c r="Y51" s="943">
        <v>407.46</v>
      </c>
      <c r="Z51" s="943">
        <v>11.012432432432432</v>
      </c>
      <c r="AA51" s="943">
        <v>1386.03</v>
      </c>
      <c r="AB51" s="943">
        <v>37.460270270270271</v>
      </c>
      <c r="AC51" s="946">
        <v>0.22718833113092349</v>
      </c>
      <c r="AD51" s="945">
        <v>118.90909090909091</v>
      </c>
      <c r="AE51" s="938">
        <v>7</v>
      </c>
      <c r="AF51" s="939">
        <v>21</v>
      </c>
      <c r="AG51" s="939">
        <v>41</v>
      </c>
      <c r="AH51" s="939">
        <v>11</v>
      </c>
      <c r="AI51" s="939">
        <v>14</v>
      </c>
      <c r="AJ51" s="942">
        <v>9.0909090909090912E-2</v>
      </c>
      <c r="AK51" s="942">
        <v>0.54545454545454541</v>
      </c>
      <c r="AL51" s="942">
        <v>0.63636363636363635</v>
      </c>
      <c r="AM51" s="939">
        <v>125</v>
      </c>
      <c r="AN51" s="946">
        <v>0.43859649122807015</v>
      </c>
      <c r="AO51" s="939">
        <v>34</v>
      </c>
      <c r="AP51" s="946">
        <v>0.11929824561403508</v>
      </c>
      <c r="AQ51" s="939">
        <v>126</v>
      </c>
      <c r="AR51" s="946">
        <v>0.44210526315789472</v>
      </c>
      <c r="AS51" s="946">
        <v>0.78616352201257866</v>
      </c>
      <c r="AT51" s="939">
        <v>15</v>
      </c>
      <c r="AU51" s="940">
        <v>33.020000000000003</v>
      </c>
      <c r="AV51" s="951">
        <v>159</v>
      </c>
      <c r="AW51" s="951">
        <v>149</v>
      </c>
      <c r="AX51" s="951">
        <v>141</v>
      </c>
      <c r="AY51" s="946">
        <v>0.51623376623376627</v>
      </c>
      <c r="AZ51" s="947">
        <v>17.079999999999998</v>
      </c>
      <c r="BA51" s="952">
        <v>12</v>
      </c>
      <c r="BB51" s="951">
        <v>-2.8000000000000001E-2</v>
      </c>
      <c r="BC51" s="939">
        <v>12</v>
      </c>
      <c r="BD51" s="953">
        <v>-6.9000000000000006E-2</v>
      </c>
      <c r="BE51" s="943">
        <v>50.17</v>
      </c>
      <c r="BF51" s="947">
        <v>17.79</v>
      </c>
      <c r="BG51" s="953">
        <v>0.49399999999999999</v>
      </c>
      <c r="BH51" s="953">
        <v>-2.6349999999999998</v>
      </c>
      <c r="BI51" s="943">
        <v>48</v>
      </c>
      <c r="BJ51" s="946">
        <v>5.0458715596330278E-2</v>
      </c>
      <c r="BK51" s="954">
        <v>0.88095238095238093</v>
      </c>
      <c r="BL51" s="952">
        <v>931.41109654871127</v>
      </c>
      <c r="BM51" s="946">
        <v>-6.8588903451288791E-2</v>
      </c>
      <c r="BN51" s="947">
        <v>1.6197908997202182</v>
      </c>
      <c r="BO51" s="947">
        <v>3.6813429539095863</v>
      </c>
      <c r="BP51" s="943">
        <v>32.101310558091591</v>
      </c>
      <c r="BQ51" s="943">
        <v>30.923280812840524</v>
      </c>
      <c r="BR51" s="943">
        <v>58.901487262553381</v>
      </c>
      <c r="BS51" s="943">
        <v>53.600353408923581</v>
      </c>
      <c r="BT51" s="943">
        <v>5.3011338536297998</v>
      </c>
      <c r="BU51" s="939">
        <v>11</v>
      </c>
      <c r="BV51" s="939">
        <v>25</v>
      </c>
      <c r="BW51" s="952">
        <v>207</v>
      </c>
      <c r="BX51" s="952">
        <v>185</v>
      </c>
      <c r="BY51" s="952">
        <v>99</v>
      </c>
      <c r="BZ51" s="952">
        <v>69</v>
      </c>
      <c r="CA51" s="952">
        <v>85</v>
      </c>
      <c r="CB51" s="952">
        <v>83</v>
      </c>
      <c r="CC51" s="939">
        <v>187</v>
      </c>
      <c r="CD51" s="939">
        <v>166</v>
      </c>
      <c r="CE51" s="946">
        <v>0.52974504249291787</v>
      </c>
      <c r="CF51" s="940">
        <v>5.09</v>
      </c>
      <c r="CG51" s="955">
        <v>0.90920932532791099</v>
      </c>
      <c r="CH51" s="947">
        <v>2.1211662085236251</v>
      </c>
      <c r="CI51" s="947">
        <v>2.8137919092660333</v>
      </c>
      <c r="CJ51" s="947">
        <v>26.709378584879115</v>
      </c>
      <c r="CK51" s="947">
        <v>28.743966580809939</v>
      </c>
      <c r="CL51" s="947">
        <v>54.674141252353849</v>
      </c>
      <c r="CM51" s="947">
        <v>55.496634271985457</v>
      </c>
      <c r="CN51" s="943">
        <v>6.1236268732614079</v>
      </c>
      <c r="CO51" s="952">
        <v>49</v>
      </c>
      <c r="CP51" s="952">
        <v>65</v>
      </c>
      <c r="CQ51" s="952">
        <v>568</v>
      </c>
      <c r="CR51" s="952">
        <v>599</v>
      </c>
      <c r="CS51" s="952">
        <v>246</v>
      </c>
      <c r="CT51" s="952">
        <v>258</v>
      </c>
      <c r="CU51" s="952">
        <v>360</v>
      </c>
      <c r="CV51" s="952">
        <v>400</v>
      </c>
      <c r="CW51" s="939">
        <v>2</v>
      </c>
      <c r="CX51" s="939">
        <v>7</v>
      </c>
      <c r="CY51" s="952">
        <v>5</v>
      </c>
      <c r="CZ51" s="947">
        <v>0.29911511777660243</v>
      </c>
      <c r="DA51" s="947">
        <v>1.0469029122181086</v>
      </c>
      <c r="DB51" s="947">
        <v>0.74778779444150623</v>
      </c>
      <c r="DC51" s="941">
        <v>16</v>
      </c>
      <c r="DD51" s="941">
        <v>15</v>
      </c>
      <c r="DE51" s="948">
        <v>12.88</v>
      </c>
      <c r="DF51" s="948">
        <v>18.2</v>
      </c>
      <c r="DG51" s="948">
        <v>13.28</v>
      </c>
      <c r="DH51" s="948">
        <v>16</v>
      </c>
      <c r="DI51" s="941">
        <v>112</v>
      </c>
      <c r="DJ51" s="941">
        <v>158</v>
      </c>
      <c r="DK51" s="946">
        <v>0.4148148148148148</v>
      </c>
      <c r="DL51" s="952">
        <v>112</v>
      </c>
      <c r="DM51" s="952">
        <v>49</v>
      </c>
      <c r="DN51" s="941">
        <v>19</v>
      </c>
      <c r="DO51" s="941">
        <v>1</v>
      </c>
      <c r="DP51" s="941">
        <v>0.161</v>
      </c>
      <c r="DQ51" s="941">
        <v>0</v>
      </c>
      <c r="DR51" s="941">
        <v>0</v>
      </c>
      <c r="DS51" s="941">
        <v>0</v>
      </c>
      <c r="DT51" s="941">
        <v>32</v>
      </c>
      <c r="DU51" s="956">
        <v>12</v>
      </c>
      <c r="DV51" s="941">
        <v>0</v>
      </c>
      <c r="DW51" s="941">
        <v>5</v>
      </c>
      <c r="DX51" s="941">
        <v>-0.156</v>
      </c>
      <c r="DY51" s="941">
        <v>0</v>
      </c>
      <c r="DZ51" s="941">
        <v>0</v>
      </c>
      <c r="EA51" s="941">
        <v>0</v>
      </c>
    </row>
    <row r="52" spans="1:131" ht="26.25" x14ac:dyDescent="0.25">
      <c r="A52" s="9" t="s">
        <v>363</v>
      </c>
      <c r="B52" s="9" t="s">
        <v>302</v>
      </c>
      <c r="C52" s="10" t="s">
        <v>364</v>
      </c>
      <c r="D52" s="9" t="s">
        <v>221</v>
      </c>
      <c r="E52" s="9" t="s">
        <v>160</v>
      </c>
      <c r="F52" s="9">
        <f>9/36</f>
        <v>0.25</v>
      </c>
      <c r="G52" s="9" t="s">
        <v>456</v>
      </c>
      <c r="H52" s="9">
        <f>28/62</f>
        <v>0.45161290322580644</v>
      </c>
      <c r="I52" s="9">
        <v>36</v>
      </c>
      <c r="J52" s="9">
        <v>0</v>
      </c>
      <c r="K52" s="9">
        <v>8</v>
      </c>
      <c r="L52" s="957">
        <f>J52+K52</f>
        <v>8</v>
      </c>
      <c r="M52" s="958">
        <f t="shared" ref="M52:M101" si="0">L52/W52*60</f>
        <v>0.90980887695472512</v>
      </c>
      <c r="N52" s="959">
        <v>0</v>
      </c>
      <c r="O52" s="959">
        <v>4</v>
      </c>
      <c r="P52" s="959">
        <v>4</v>
      </c>
      <c r="Q52" s="959">
        <v>22</v>
      </c>
      <c r="R52" s="959">
        <v>24</v>
      </c>
      <c r="S52" s="959">
        <v>18</v>
      </c>
      <c r="T52" s="959">
        <v>10</v>
      </c>
      <c r="U52" s="960">
        <f>IF(Q52&gt;0,J52/Q52,0)</f>
        <v>0</v>
      </c>
      <c r="V52" s="960">
        <f>IF(SUM(Q52:S52)&gt;0,J52/SUM(Q52:S52),0)</f>
        <v>0</v>
      </c>
      <c r="W52" s="961">
        <v>527.58333333329995</v>
      </c>
      <c r="X52" s="961">
        <f>W52/I52</f>
        <v>14.655092592591664</v>
      </c>
      <c r="Y52" s="961">
        <v>512.17999999999995</v>
      </c>
      <c r="Z52" s="961">
        <f>Y52/I52</f>
        <v>14.22722222222222</v>
      </c>
      <c r="AA52" s="961">
        <v>1196.1099999999999</v>
      </c>
      <c r="AB52" s="961">
        <f>AA52/I52</f>
        <v>33.225277777777777</v>
      </c>
      <c r="AC52" s="962">
        <f t="shared" ref="AC52:AC101" si="1">Z52/(Z52+AB52)</f>
        <v>0.29982028812438166</v>
      </c>
      <c r="AD52" s="963">
        <f t="shared" ref="AD52:AD101" si="2">IF(BJ52&gt;0,O52/BJ52,0)</f>
        <v>43.304347826086961</v>
      </c>
      <c r="AE52">
        <v>30</v>
      </c>
      <c r="AF52" s="959">
        <v>41</v>
      </c>
      <c r="AG52" s="959">
        <v>40</v>
      </c>
      <c r="AH52" s="959">
        <v>13</v>
      </c>
      <c r="AI52" s="959">
        <v>3</v>
      </c>
      <c r="AJ52" s="960">
        <f>IF(N52&gt;0,J52/BU52,0)</f>
        <v>0</v>
      </c>
      <c r="AK52" s="960">
        <f t="shared" ref="AK52:AK101" si="3">IF(BU52&gt;0,(O52+P52)/BU52,0)</f>
        <v>0.34782608695652173</v>
      </c>
      <c r="AL52" s="960">
        <f t="shared" ref="AL52:AL101" si="4">AJ52+AK52</f>
        <v>0.34782608695652173</v>
      </c>
      <c r="AM52" s="959">
        <v>151</v>
      </c>
      <c r="AN52" s="962">
        <f t="shared" ref="AN52:AN101" si="5">AM52/(AM52+AO52+AQ52)</f>
        <v>0.31198347107438018</v>
      </c>
      <c r="AO52" s="959">
        <v>157</v>
      </c>
      <c r="AP52" s="962">
        <f t="shared" ref="AP52:AP101" si="6">AO52/(AM52+AO52+AQ52)</f>
        <v>0.32438016528925617</v>
      </c>
      <c r="AQ52" s="959">
        <v>176</v>
      </c>
      <c r="AR52" s="962">
        <f t="shared" ref="AR52:AR101" si="7">AQ52/(AM52+AO52+AQ52)</f>
        <v>0.36363636363636365</v>
      </c>
      <c r="AS52" s="962">
        <f t="shared" ref="AS52:AS101" si="8">AM52/(AM52+AO52)</f>
        <v>0.49025974025974028</v>
      </c>
      <c r="AT52" s="959">
        <v>5</v>
      </c>
      <c r="AU52" s="964">
        <v>3.86</v>
      </c>
      <c r="AV52" s="965">
        <v>212</v>
      </c>
      <c r="AW52" s="965">
        <v>194</v>
      </c>
      <c r="AX52" s="965">
        <v>141</v>
      </c>
      <c r="AY52" s="962">
        <f t="shared" ref="AY52:AY101" si="9">AV52/(AV52+AW52)</f>
        <v>0.52216748768472909</v>
      </c>
      <c r="AZ52" s="966">
        <v>17.100000000000001</v>
      </c>
      <c r="BA52" s="967">
        <v>5</v>
      </c>
      <c r="BB52" s="965">
        <v>4.0000000000000001E-3</v>
      </c>
      <c r="BC52" s="959">
        <v>4</v>
      </c>
      <c r="BD52" s="968">
        <v>-1.899</v>
      </c>
      <c r="BE52" s="961">
        <v>48.91</v>
      </c>
      <c r="BF52" s="966">
        <v>16.12</v>
      </c>
      <c r="BG52" s="968">
        <v>0.14899999999999999</v>
      </c>
      <c r="BH52" s="968">
        <v>-4.3040000000000003</v>
      </c>
      <c r="BI52" s="961">
        <v>47.94</v>
      </c>
      <c r="BJ52" s="962">
        <f t="shared" ref="BJ52:BJ101" si="10">IF(BU52&gt;0,BU52/(BU52+BW52),0)</f>
        <v>9.2369477911646583E-2</v>
      </c>
      <c r="BK52" s="969">
        <f t="shared" ref="BK52:BK101" si="11">BX52/MAX(1,BV52+BX52)</f>
        <v>0.95402298850574707</v>
      </c>
      <c r="BL52" s="967">
        <f t="shared" ref="BL52:BL101" si="12">BK52*1000+BJ52*1000</f>
        <v>1046.3924664173937</v>
      </c>
      <c r="BM52" s="962">
        <f t="shared" ref="BM52:BM101" si="13">BJ52-(1-BK52)</f>
        <v>4.6392466417393655E-2</v>
      </c>
      <c r="BN52" s="966">
        <f>BU52/(Z52*I52)*60</f>
        <v>2.6943652622125036</v>
      </c>
      <c r="BO52" s="966">
        <f>BV52/(Z52*I52)*60</f>
        <v>1.4057557889804366</v>
      </c>
      <c r="BP52" s="961">
        <f>(BU52+BW52)/(Z52*I52)*60</f>
        <v>29.169432621344061</v>
      </c>
      <c r="BQ52" s="961">
        <f>(BV52+BX52)/(Z52*I52)*60</f>
        <v>30.5751884103245</v>
      </c>
      <c r="BR52" s="961">
        <f>(BU52+BW52+BY52+CB52)/(Z52*I52)*60</f>
        <v>51.427232613534308</v>
      </c>
      <c r="BS52" s="961">
        <f>(BV52+BX52+BZ52+CA52)/(Z52*I52)*60</f>
        <v>51.075793666289201</v>
      </c>
      <c r="BT52" s="961">
        <f t="shared" ref="BT52:BT101" si="14">BR52-BS52</f>
        <v>0.35143894724510716</v>
      </c>
      <c r="BU52" s="959">
        <v>23</v>
      </c>
      <c r="BV52" s="959">
        <v>12</v>
      </c>
      <c r="BW52" s="967">
        <v>226</v>
      </c>
      <c r="BX52" s="967">
        <v>249</v>
      </c>
      <c r="BY52" s="967">
        <v>87</v>
      </c>
      <c r="BZ52" s="967">
        <v>78</v>
      </c>
      <c r="CA52" s="967">
        <v>97</v>
      </c>
      <c r="CB52" s="967">
        <v>103</v>
      </c>
      <c r="CC52" s="959">
        <v>207</v>
      </c>
      <c r="CD52" s="959">
        <v>207</v>
      </c>
      <c r="CE52" s="962">
        <f t="shared" ref="CE52:CE101" si="15">CC52/(CC52+CD52)</f>
        <v>0.5</v>
      </c>
      <c r="CF52" s="964">
        <v>0.46</v>
      </c>
      <c r="CG52" s="970">
        <f t="shared" ref="CG52:CG101" si="16">BT52-(-11.91+BH52-BD52+AS52*24)</f>
        <v>2.9002051810113372</v>
      </c>
      <c r="CH52" s="966">
        <f>CO52/(AB52*I52)*60</f>
        <v>3.1602444591216532</v>
      </c>
      <c r="CI52" s="966">
        <f>CP52/(AB52*I52)*60</f>
        <v>3.1602444591216532</v>
      </c>
      <c r="CJ52" s="966">
        <f>(CO52+CQ52)/(AB52*I52)*60</f>
        <v>30.398541940122566</v>
      </c>
      <c r="CK52" s="966">
        <f>(CP52+CR52)/(AB52*I52)*60</f>
        <v>32.856509852772739</v>
      </c>
      <c r="CL52" s="966">
        <f>(CO52+CQ52+CS52+CV52)/(AB52*I52)*60</f>
        <v>54.225781909690582</v>
      </c>
      <c r="CM52" s="966">
        <f>(CP52+CR52+CT52+CU52)/(AB52*I52)*60</f>
        <v>58.589929019906201</v>
      </c>
      <c r="CN52" s="961">
        <f t="shared" ref="CN52:CN101" si="17">BT52-(CL52-CM52)</f>
        <v>4.715586057460726</v>
      </c>
      <c r="CO52" s="967">
        <v>63</v>
      </c>
      <c r="CP52" s="967">
        <v>63</v>
      </c>
      <c r="CQ52" s="967">
        <v>543</v>
      </c>
      <c r="CR52" s="967">
        <v>592</v>
      </c>
      <c r="CS52" s="967">
        <v>214</v>
      </c>
      <c r="CT52" s="967">
        <v>235</v>
      </c>
      <c r="CU52" s="967">
        <v>278</v>
      </c>
      <c r="CV52" s="967">
        <v>261</v>
      </c>
      <c r="CW52" s="959">
        <v>6</v>
      </c>
      <c r="CX52" s="959">
        <v>2</v>
      </c>
      <c r="CY52" s="967">
        <f t="shared" ref="CY52:CY101" si="18">CX52-CW52</f>
        <v>-4</v>
      </c>
      <c r="CZ52" s="966">
        <f>CW52/(X52*I52)*60</f>
        <v>0.68235665771604381</v>
      </c>
      <c r="DA52" s="966">
        <f>CX52/(X52*I52)*60</f>
        <v>0.22745221923868128</v>
      </c>
      <c r="DB52" s="966">
        <f>CY52/(X52*I52)*60</f>
        <v>-0.45490443847736256</v>
      </c>
      <c r="DC52" s="9">
        <v>20</v>
      </c>
      <c r="DD52" s="9">
        <v>21</v>
      </c>
      <c r="DE52" s="971">
        <v>18.43</v>
      </c>
      <c r="DF52" s="971">
        <v>24.03</v>
      </c>
      <c r="DG52" s="971">
        <v>18</v>
      </c>
      <c r="DH52" s="971">
        <v>20.67</v>
      </c>
      <c r="DI52" s="959"/>
      <c r="DJ52" s="959"/>
      <c r="DK52" s="962" t="str">
        <f t="shared" ref="DK52:DK101" si="19">IF((DI52+DJ52)&gt;0,DI52/(DI52+DJ52)," ")</f>
        <v xml:space="preserve"> </v>
      </c>
      <c r="DL52" s="967"/>
      <c r="DM52" s="967"/>
      <c r="DN52" s="959"/>
      <c r="DO52" s="959"/>
      <c r="DP52" s="959"/>
      <c r="DQ52" s="959"/>
      <c r="DR52" s="959"/>
      <c r="DS52" s="959"/>
      <c r="DT52" s="972"/>
      <c r="DU52" s="973"/>
      <c r="DV52" s="9"/>
      <c r="DW52" s="9"/>
      <c r="DX52" s="9"/>
      <c r="DY52" s="9"/>
      <c r="DZ52" s="9"/>
      <c r="EA52" s="959"/>
    </row>
    <row r="53" spans="1:131" ht="39" x14ac:dyDescent="0.25">
      <c r="A53" s="9" t="s">
        <v>365</v>
      </c>
      <c r="B53" s="9" t="s">
        <v>332</v>
      </c>
      <c r="C53" s="10" t="s">
        <v>366</v>
      </c>
      <c r="D53" s="959" t="s">
        <v>367</v>
      </c>
      <c r="E53" s="9" t="s">
        <v>137</v>
      </c>
      <c r="F53" s="9">
        <f>8/31</f>
        <v>0.25806451612903225</v>
      </c>
      <c r="G53" s="9" t="s">
        <v>456</v>
      </c>
      <c r="H53" s="9">
        <f>59/71</f>
        <v>0.83098591549295775</v>
      </c>
      <c r="I53" s="9">
        <v>31</v>
      </c>
      <c r="J53" s="9">
        <v>4</v>
      </c>
      <c r="K53" s="9">
        <v>2</v>
      </c>
      <c r="L53" s="957">
        <f>J53+K53</f>
        <v>6</v>
      </c>
      <c r="M53" s="958">
        <f t="shared" si="0"/>
        <v>1.280834914610854</v>
      </c>
      <c r="N53" s="959">
        <v>4</v>
      </c>
      <c r="O53" s="959">
        <v>1</v>
      </c>
      <c r="P53" s="959">
        <v>1</v>
      </c>
      <c r="Q53" s="959">
        <v>45</v>
      </c>
      <c r="R53" s="959">
        <v>19</v>
      </c>
      <c r="S53" s="959">
        <v>25</v>
      </c>
      <c r="T53" s="959">
        <v>37</v>
      </c>
      <c r="U53" s="960">
        <f>IF(Q53&gt;0,J53/Q53,0)</f>
        <v>8.8888888888888892E-2</v>
      </c>
      <c r="V53" s="960">
        <f>IF(SUM(Q53:S53)&gt;0,J53/SUM(Q53:S53),0)</f>
        <v>4.49438202247191E-2</v>
      </c>
      <c r="W53" s="961">
        <v>281.06666666669997</v>
      </c>
      <c r="X53" s="961">
        <f>W53/I53</f>
        <v>9.0666666666677411</v>
      </c>
      <c r="Y53" s="961">
        <v>272.18</v>
      </c>
      <c r="Z53" s="961">
        <f>Y53/I53</f>
        <v>8.7799999999999994</v>
      </c>
      <c r="AA53" s="961">
        <v>1162.95</v>
      </c>
      <c r="AB53" s="961">
        <f>AA53/I53</f>
        <v>37.514516129032259</v>
      </c>
      <c r="AC53" s="962">
        <f t="shared" si="1"/>
        <v>0.18965529255189423</v>
      </c>
      <c r="AD53" s="963">
        <f t="shared" si="2"/>
        <v>13.5</v>
      </c>
      <c r="AE53">
        <v>4</v>
      </c>
      <c r="AF53" s="959">
        <v>2</v>
      </c>
      <c r="AG53" s="959">
        <v>28</v>
      </c>
      <c r="AH53" s="959">
        <v>3</v>
      </c>
      <c r="AI53" s="959">
        <v>2</v>
      </c>
      <c r="AJ53" s="960">
        <f>IF(N53&gt;0,J53/BU53,0)</f>
        <v>0.4</v>
      </c>
      <c r="AK53" s="960">
        <f t="shared" si="3"/>
        <v>0.2</v>
      </c>
      <c r="AL53" s="960">
        <f t="shared" si="4"/>
        <v>0.60000000000000009</v>
      </c>
      <c r="AM53" s="959">
        <v>99</v>
      </c>
      <c r="AN53" s="962">
        <f t="shared" si="5"/>
        <v>0.38076923076923075</v>
      </c>
      <c r="AO53" s="959">
        <v>62</v>
      </c>
      <c r="AP53" s="962">
        <f t="shared" si="6"/>
        <v>0.23846153846153847</v>
      </c>
      <c r="AQ53" s="959">
        <v>99</v>
      </c>
      <c r="AR53" s="962">
        <f t="shared" si="7"/>
        <v>0.38076923076923075</v>
      </c>
      <c r="AS53" s="962">
        <f t="shared" si="8"/>
        <v>0.6149068322981367</v>
      </c>
      <c r="AT53" s="959">
        <v>13</v>
      </c>
      <c r="AU53" s="964">
        <v>10.73</v>
      </c>
      <c r="AV53" s="965">
        <v>118</v>
      </c>
      <c r="AW53" s="965">
        <v>115</v>
      </c>
      <c r="AX53" s="965">
        <v>82</v>
      </c>
      <c r="AY53" s="962">
        <f t="shared" si="9"/>
        <v>0.50643776824034337</v>
      </c>
      <c r="AZ53" s="966">
        <v>16.829999999999998</v>
      </c>
      <c r="BA53" s="967">
        <v>15</v>
      </c>
      <c r="BB53" s="965">
        <v>-1.0229999999999999</v>
      </c>
      <c r="BC53" s="959">
        <v>15</v>
      </c>
      <c r="BD53" s="968">
        <v>-1.4999999999999999E-2</v>
      </c>
      <c r="BE53" s="961">
        <v>49.92</v>
      </c>
      <c r="BF53" s="966">
        <v>16.93</v>
      </c>
      <c r="BG53" s="968">
        <v>-1.8260000000000001</v>
      </c>
      <c r="BH53" s="968">
        <v>4.5940000000000003</v>
      </c>
      <c r="BI53" s="961">
        <v>51.96</v>
      </c>
      <c r="BJ53" s="962">
        <f t="shared" si="10"/>
        <v>7.407407407407407E-2</v>
      </c>
      <c r="BK53" s="969">
        <f t="shared" si="11"/>
        <v>0.96124031007751942</v>
      </c>
      <c r="BL53" s="967">
        <f t="shared" si="12"/>
        <v>1035.3143841515935</v>
      </c>
      <c r="BM53" s="962">
        <f t="shared" si="13"/>
        <v>3.5314384151593492E-2</v>
      </c>
      <c r="BN53" s="966">
        <f>BU53/(Z53*I53)*60</f>
        <v>2.204423543243442</v>
      </c>
      <c r="BO53" s="966">
        <f>BV53/(Z53*I53)*60</f>
        <v>1.102211771621721</v>
      </c>
      <c r="BP53" s="961">
        <f>(BU53+BW53)/(Z53*I53)*60</f>
        <v>29.759717833786464</v>
      </c>
      <c r="BQ53" s="961">
        <f>(BV53+BX53)/(Z53*I53)*60</f>
        <v>28.437063707840398</v>
      </c>
      <c r="BR53" s="961">
        <f>(BU53+BW53+BY53+CB53)/(Z53*I53)*60</f>
        <v>60.621647439194646</v>
      </c>
      <c r="BS53" s="961">
        <f>(BV53+BX53+BZ53+CA53)/(Z53*I53)*60</f>
        <v>47.174663825409652</v>
      </c>
      <c r="BT53" s="961">
        <f t="shared" si="14"/>
        <v>13.446983613784994</v>
      </c>
      <c r="BU53" s="959">
        <v>10</v>
      </c>
      <c r="BV53" s="959">
        <v>5</v>
      </c>
      <c r="BW53" s="967">
        <v>125</v>
      </c>
      <c r="BX53" s="967">
        <v>124</v>
      </c>
      <c r="BY53" s="967">
        <v>57</v>
      </c>
      <c r="BZ53" s="967">
        <v>33</v>
      </c>
      <c r="CA53" s="967">
        <v>52</v>
      </c>
      <c r="CB53" s="967">
        <v>83</v>
      </c>
      <c r="CC53" s="959">
        <v>123</v>
      </c>
      <c r="CD53" s="959">
        <v>107</v>
      </c>
      <c r="CE53" s="962">
        <f t="shared" si="15"/>
        <v>0.5347826086956522</v>
      </c>
      <c r="CF53" s="964">
        <v>0.76</v>
      </c>
      <c r="CG53" s="970">
        <f t="shared" si="16"/>
        <v>5.9902196386297124</v>
      </c>
      <c r="CH53" s="966">
        <f>CO53/(AB53*I53)*60</f>
        <v>2.528053656649039</v>
      </c>
      <c r="CI53" s="966">
        <f>CP53/(AB53*I53)*60</f>
        <v>2.6312395201857344</v>
      </c>
      <c r="CJ53" s="966">
        <f>(CO53+CQ53)/(AB53*I53)*60</f>
        <v>28.324519540822909</v>
      </c>
      <c r="CK53" s="966">
        <f>(CP53+CR53)/(AB53*I53)*60</f>
        <v>28.118147813749516</v>
      </c>
      <c r="CL53" s="966">
        <f>(CO53+CQ53+CS53+CV53)/(AB53*I53)*60</f>
        <v>54.430543015606858</v>
      </c>
      <c r="CM53" s="966">
        <f>(CP53+CR53+CT53+CU53)/(AB53*I53)*60</f>
        <v>48.858506384625308</v>
      </c>
      <c r="CN53" s="961">
        <f t="shared" si="17"/>
        <v>7.8749469828034435</v>
      </c>
      <c r="CO53" s="967">
        <v>49</v>
      </c>
      <c r="CP53" s="967">
        <v>51</v>
      </c>
      <c r="CQ53" s="967">
        <v>500</v>
      </c>
      <c r="CR53" s="967">
        <v>494</v>
      </c>
      <c r="CS53" s="967">
        <v>230</v>
      </c>
      <c r="CT53" s="967">
        <v>200</v>
      </c>
      <c r="CU53" s="967">
        <v>202</v>
      </c>
      <c r="CV53" s="967">
        <v>276</v>
      </c>
      <c r="CW53" s="959">
        <v>5</v>
      </c>
      <c r="CX53" s="959">
        <v>1</v>
      </c>
      <c r="CY53" s="967">
        <f t="shared" si="18"/>
        <v>-4</v>
      </c>
      <c r="CZ53" s="966">
        <f>CW53/(X53*I53)*60</f>
        <v>1.0673624288423782</v>
      </c>
      <c r="DA53" s="966">
        <f>CX53/(X53*I53)*60</f>
        <v>0.21347248576847563</v>
      </c>
      <c r="DB53" s="966">
        <f>CY53/(X53*I53)*60</f>
        <v>-0.85388994307390254</v>
      </c>
      <c r="DC53" s="9">
        <v>10</v>
      </c>
      <c r="DD53" s="9">
        <v>9</v>
      </c>
      <c r="DE53" s="971">
        <v>9</v>
      </c>
      <c r="DF53" s="971">
        <v>9.64</v>
      </c>
      <c r="DG53" s="971">
        <v>9.73</v>
      </c>
      <c r="DH53" s="971">
        <v>9.18</v>
      </c>
      <c r="DI53" s="9">
        <v>0</v>
      </c>
      <c r="DJ53" s="9">
        <v>0</v>
      </c>
      <c r="DK53" s="962" t="str">
        <f t="shared" si="19"/>
        <v xml:space="preserve"> </v>
      </c>
      <c r="DL53" s="967"/>
      <c r="DM53" s="967"/>
      <c r="DN53" s="959"/>
      <c r="DO53" s="959"/>
      <c r="DP53" s="959"/>
      <c r="DQ53" s="959"/>
      <c r="DR53" s="959"/>
      <c r="DS53" s="959"/>
      <c r="DT53" s="959"/>
      <c r="DU53" s="967"/>
      <c r="DV53" s="959"/>
      <c r="DW53" s="959"/>
      <c r="DX53" s="959"/>
      <c r="DY53" s="959"/>
      <c r="DZ53" s="959"/>
      <c r="EA53" s="9"/>
    </row>
    <row r="54" spans="1:131" ht="26.25" x14ac:dyDescent="0.25">
      <c r="A54" s="9" t="s">
        <v>368</v>
      </c>
      <c r="B54" s="9" t="s">
        <v>291</v>
      </c>
      <c r="C54" s="10" t="s">
        <v>369</v>
      </c>
      <c r="D54" s="959" t="s">
        <v>203</v>
      </c>
      <c r="E54" s="9" t="s">
        <v>160</v>
      </c>
      <c r="F54" s="9">
        <f>8/40</f>
        <v>0.2</v>
      </c>
      <c r="G54" s="9" t="s">
        <v>456</v>
      </c>
      <c r="H54" s="9">
        <f>20/65</f>
        <v>0.30769230769230771</v>
      </c>
      <c r="I54" s="9">
        <v>40</v>
      </c>
      <c r="J54" s="9">
        <v>2</v>
      </c>
      <c r="K54" s="9">
        <v>6</v>
      </c>
      <c r="L54" s="957">
        <f>J54+K54</f>
        <v>8</v>
      </c>
      <c r="M54" s="958">
        <f t="shared" si="0"/>
        <v>0.74339846674070076</v>
      </c>
      <c r="N54" s="959">
        <v>2</v>
      </c>
      <c r="O54" s="959">
        <v>4</v>
      </c>
      <c r="P54" s="959">
        <v>2</v>
      </c>
      <c r="Q54" s="959">
        <v>34</v>
      </c>
      <c r="R54" s="959">
        <v>16</v>
      </c>
      <c r="S54" s="959">
        <v>32</v>
      </c>
      <c r="T54" s="959">
        <v>21</v>
      </c>
      <c r="U54" s="960">
        <f>IF(Q54&gt;0,J54/Q54,0)</f>
        <v>5.8823529411764705E-2</v>
      </c>
      <c r="V54" s="960">
        <f>IF(SUM(Q54:S54)&gt;0,J54/SUM(Q54:S54),0)</f>
        <v>2.4390243902439025E-2</v>
      </c>
      <c r="W54" s="961">
        <v>645.68333333329997</v>
      </c>
      <c r="X54" s="961">
        <f>W54/I54</f>
        <v>16.142083333332501</v>
      </c>
      <c r="Y54" s="961">
        <v>612.28</v>
      </c>
      <c r="Z54" s="961">
        <f>Y54/I54</f>
        <v>15.306999999999999</v>
      </c>
      <c r="AA54" s="961">
        <v>1243.47</v>
      </c>
      <c r="AB54" s="961">
        <f>AA54/I54</f>
        <v>31.086750000000002</v>
      </c>
      <c r="AC54" s="962">
        <f t="shared" si="1"/>
        <v>0.32993668328169201</v>
      </c>
      <c r="AD54" s="963">
        <f t="shared" si="2"/>
        <v>51.833333333333329</v>
      </c>
      <c r="AE54">
        <v>44</v>
      </c>
      <c r="AF54" s="959">
        <v>64</v>
      </c>
      <c r="AG54" s="959">
        <v>89</v>
      </c>
      <c r="AH54" s="959">
        <v>21</v>
      </c>
      <c r="AI54" s="959">
        <v>7</v>
      </c>
      <c r="AJ54" s="960">
        <f>IF(N54&gt;0,J54/BU54,0)</f>
        <v>8.3333333333333329E-2</v>
      </c>
      <c r="AK54" s="960">
        <f t="shared" si="3"/>
        <v>0.25</v>
      </c>
      <c r="AL54" s="960">
        <f t="shared" si="4"/>
        <v>0.33333333333333331</v>
      </c>
      <c r="AM54" s="959">
        <v>193</v>
      </c>
      <c r="AN54" s="962">
        <f t="shared" si="5"/>
        <v>0.31484502446982054</v>
      </c>
      <c r="AO54" s="959">
        <v>200</v>
      </c>
      <c r="AP54" s="962">
        <f t="shared" si="6"/>
        <v>0.32626427406199021</v>
      </c>
      <c r="AQ54" s="959">
        <v>220</v>
      </c>
      <c r="AR54" s="962">
        <f t="shared" si="7"/>
        <v>0.35889070146818924</v>
      </c>
      <c r="AS54" s="962">
        <f t="shared" si="8"/>
        <v>0.4910941475826972</v>
      </c>
      <c r="AT54" s="959">
        <v>2</v>
      </c>
      <c r="AU54" s="964">
        <v>-2.59</v>
      </c>
      <c r="AV54" s="965">
        <v>224</v>
      </c>
      <c r="AW54" s="965">
        <v>246</v>
      </c>
      <c r="AX54" s="965">
        <v>173</v>
      </c>
      <c r="AY54" s="962">
        <f t="shared" si="9"/>
        <v>0.47659574468085109</v>
      </c>
      <c r="AZ54" s="966">
        <v>17.420000000000002</v>
      </c>
      <c r="BA54" s="967">
        <v>5</v>
      </c>
      <c r="BB54" s="965">
        <v>0.55600000000000005</v>
      </c>
      <c r="BC54" s="959">
        <v>5</v>
      </c>
      <c r="BD54" s="968">
        <v>-0.48099999999999998</v>
      </c>
      <c r="BE54" s="961">
        <v>49.69</v>
      </c>
      <c r="BF54" s="966">
        <v>17.46</v>
      </c>
      <c r="BG54" s="968">
        <v>1.022</v>
      </c>
      <c r="BH54" s="968">
        <v>5.0049999999999999</v>
      </c>
      <c r="BI54" s="961">
        <v>51.94</v>
      </c>
      <c r="BJ54" s="962">
        <f t="shared" si="10"/>
        <v>7.7170418006430874E-2</v>
      </c>
      <c r="BK54" s="969">
        <f t="shared" si="11"/>
        <v>0.93014705882352944</v>
      </c>
      <c r="BL54" s="967">
        <f t="shared" si="12"/>
        <v>1007.3174768299602</v>
      </c>
      <c r="BM54" s="962">
        <f t="shared" si="13"/>
        <v>7.3174768299603121E-3</v>
      </c>
      <c r="BN54" s="966">
        <f>BU54/(Z54*I54)*60</f>
        <v>2.351865159730842</v>
      </c>
      <c r="BO54" s="966">
        <f>BV54/(Z54*I54)*60</f>
        <v>1.8618932514535835</v>
      </c>
      <c r="BP54" s="961">
        <f>(BU54+BW54)/(Z54*I54)*60</f>
        <v>30.476252694845495</v>
      </c>
      <c r="BQ54" s="961">
        <f>(BV54+BX54)/(Z54*I54)*60</f>
        <v>26.654471810282878</v>
      </c>
      <c r="BR54" s="961">
        <f>(BU54+BW54+BY54+CB54)/(Z54*I54)*60</f>
        <v>57.522702031750178</v>
      </c>
      <c r="BS54" s="961">
        <f>(BV54+BX54+BZ54+CA54)/(Z54*I54)*60</f>
        <v>50.467106552557652</v>
      </c>
      <c r="BT54" s="961">
        <f t="shared" si="14"/>
        <v>7.0555954791925259</v>
      </c>
      <c r="BU54" s="959">
        <v>24</v>
      </c>
      <c r="BV54" s="959">
        <v>19</v>
      </c>
      <c r="BW54" s="967">
        <v>287</v>
      </c>
      <c r="BX54" s="967">
        <v>253</v>
      </c>
      <c r="BY54" s="967">
        <v>131</v>
      </c>
      <c r="BZ54" s="967">
        <v>104</v>
      </c>
      <c r="CA54" s="967">
        <v>139</v>
      </c>
      <c r="CB54" s="967">
        <v>145</v>
      </c>
      <c r="CC54" s="959">
        <v>285</v>
      </c>
      <c r="CD54" s="959">
        <v>243</v>
      </c>
      <c r="CE54" s="962">
        <f t="shared" si="15"/>
        <v>0.53977272727272729</v>
      </c>
      <c r="CF54" s="964">
        <v>-0.62</v>
      </c>
      <c r="CG54" s="970">
        <f t="shared" si="16"/>
        <v>1.6933359372077925</v>
      </c>
      <c r="CH54" s="966">
        <f>CO54/(AB54*I54)*60</f>
        <v>2.7021158532172067</v>
      </c>
      <c r="CI54" s="966">
        <f>CP54/(AB54*I54)*60</f>
        <v>2.2195951651427053</v>
      </c>
      <c r="CJ54" s="966">
        <f>(CO54+CQ54)/(AB54*I54)*60</f>
        <v>29.675022316581821</v>
      </c>
      <c r="CK54" s="966">
        <f>(CP54+CR54)/(AB54*I54)*60</f>
        <v>27.165914738594417</v>
      </c>
      <c r="CL54" s="966">
        <f>(CO54+CQ54+CS54+CV54)/(AB54*I54)*60</f>
        <v>56.840937055176241</v>
      </c>
      <c r="CM54" s="966">
        <f>(CP54+CR54+CT54+CU54)/(AB54*I54)*60</f>
        <v>48.686337426717166</v>
      </c>
      <c r="CN54" s="961">
        <f t="shared" si="17"/>
        <v>-1.0990041492665483</v>
      </c>
      <c r="CO54" s="967">
        <v>56</v>
      </c>
      <c r="CP54" s="967">
        <v>46</v>
      </c>
      <c r="CQ54" s="967">
        <v>559</v>
      </c>
      <c r="CR54" s="967">
        <v>517</v>
      </c>
      <c r="CS54" s="967">
        <v>236</v>
      </c>
      <c r="CT54" s="967">
        <v>206</v>
      </c>
      <c r="CU54" s="967">
        <v>240</v>
      </c>
      <c r="CV54" s="967">
        <v>327</v>
      </c>
      <c r="CW54" s="959">
        <v>6</v>
      </c>
      <c r="CX54" s="959">
        <v>2</v>
      </c>
      <c r="CY54" s="967">
        <f t="shared" si="18"/>
        <v>-4</v>
      </c>
      <c r="CZ54" s="966">
        <f>CW54/(X54*I54)*60</f>
        <v>0.55754885005552557</v>
      </c>
      <c r="DA54" s="966">
        <f>CX54/(X54*I54)*60</f>
        <v>0.18584961668517519</v>
      </c>
      <c r="DB54" s="966">
        <f>CY54/(X54*I54)*60</f>
        <v>-0.37169923337035038</v>
      </c>
      <c r="DC54" s="9">
        <v>26</v>
      </c>
      <c r="DD54" s="9">
        <v>21</v>
      </c>
      <c r="DE54" s="971">
        <v>22.03</v>
      </c>
      <c r="DF54" s="971">
        <v>19.82</v>
      </c>
      <c r="DG54" s="971">
        <v>22.84</v>
      </c>
      <c r="DH54" s="971">
        <v>22.23</v>
      </c>
      <c r="DI54" s="959"/>
      <c r="DJ54" s="959"/>
      <c r="DK54" s="962" t="str">
        <f t="shared" si="19"/>
        <v xml:space="preserve"> </v>
      </c>
      <c r="DL54" s="967"/>
      <c r="DM54" s="967"/>
      <c r="DN54" s="959"/>
      <c r="DO54" s="959"/>
      <c r="DP54" s="959"/>
      <c r="DQ54" s="959"/>
      <c r="DR54" s="959"/>
      <c r="DS54" s="959"/>
      <c r="DT54" s="972"/>
      <c r="DU54" s="973"/>
      <c r="DV54" s="9"/>
      <c r="DW54" s="9"/>
      <c r="DX54" s="9"/>
      <c r="DY54" s="9"/>
      <c r="DZ54" s="9"/>
      <c r="EA54" s="959"/>
    </row>
    <row r="55" spans="1:131" ht="26.25" x14ac:dyDescent="0.25">
      <c r="A55" s="9" t="s">
        <v>264</v>
      </c>
      <c r="B55" s="9" t="s">
        <v>342</v>
      </c>
      <c r="C55" s="10" t="s">
        <v>370</v>
      </c>
      <c r="D55" s="959" t="s">
        <v>193</v>
      </c>
      <c r="E55" s="9" t="s">
        <v>160</v>
      </c>
      <c r="F55" s="9">
        <f>8/27</f>
        <v>0.29629629629629628</v>
      </c>
      <c r="G55" s="9" t="s">
        <v>456</v>
      </c>
      <c r="H55" s="9">
        <f>21/54</f>
        <v>0.3888888888888889</v>
      </c>
      <c r="I55" s="9">
        <v>27</v>
      </c>
      <c r="J55" s="9">
        <v>1</v>
      </c>
      <c r="K55" s="9">
        <v>4</v>
      </c>
      <c r="L55" s="957">
        <f>J55+K55</f>
        <v>5</v>
      </c>
      <c r="M55" s="958">
        <f t="shared" si="0"/>
        <v>0.72609923356186157</v>
      </c>
      <c r="N55" s="959">
        <v>1</v>
      </c>
      <c r="O55" s="959">
        <v>2</v>
      </c>
      <c r="P55" s="959">
        <v>1</v>
      </c>
      <c r="Q55" s="959">
        <v>29</v>
      </c>
      <c r="R55" s="959">
        <v>20</v>
      </c>
      <c r="S55" s="959">
        <v>14</v>
      </c>
      <c r="T55" s="959">
        <v>10</v>
      </c>
      <c r="U55" s="960">
        <f>IF(Q55&gt;0,J55/Q55,0)</f>
        <v>3.4482758620689655E-2</v>
      </c>
      <c r="V55" s="960">
        <f>IF(SUM(Q55:S55)&gt;0,J55/SUM(Q55:S55),0)</f>
        <v>1.5873015873015872E-2</v>
      </c>
      <c r="W55" s="961">
        <v>413.1666666667</v>
      </c>
      <c r="X55" s="961">
        <f>W55/I55</f>
        <v>15.302469135803703</v>
      </c>
      <c r="Y55" s="961">
        <v>396.78</v>
      </c>
      <c r="Z55" s="961">
        <f>Y55/I55</f>
        <v>14.695555555555554</v>
      </c>
      <c r="AA55" s="961">
        <v>919.52</v>
      </c>
      <c r="AB55" s="961">
        <f>AA55/I55</f>
        <v>34.056296296296296</v>
      </c>
      <c r="AC55" s="962">
        <f t="shared" si="1"/>
        <v>0.3014358428929575</v>
      </c>
      <c r="AD55" s="963">
        <f t="shared" si="2"/>
        <v>32.200000000000003</v>
      </c>
      <c r="AE55">
        <v>27</v>
      </c>
      <c r="AF55" s="959">
        <v>44</v>
      </c>
      <c r="AG55" s="959">
        <v>72</v>
      </c>
      <c r="AH55" s="959">
        <v>17</v>
      </c>
      <c r="AI55" s="959">
        <v>8</v>
      </c>
      <c r="AJ55" s="960">
        <f>IF(N55&gt;0,J55/BU55,0)</f>
        <v>0.1</v>
      </c>
      <c r="AK55" s="960">
        <f t="shared" si="3"/>
        <v>0.3</v>
      </c>
      <c r="AL55" s="960">
        <f t="shared" si="4"/>
        <v>0.4</v>
      </c>
      <c r="AM55" s="959">
        <v>125</v>
      </c>
      <c r="AN55" s="962">
        <f t="shared" si="5"/>
        <v>0.34435261707988979</v>
      </c>
      <c r="AO55" s="959">
        <v>114</v>
      </c>
      <c r="AP55" s="962">
        <f t="shared" si="6"/>
        <v>0.31404958677685951</v>
      </c>
      <c r="AQ55" s="959">
        <v>124</v>
      </c>
      <c r="AR55" s="962">
        <f t="shared" si="7"/>
        <v>0.3415977961432507</v>
      </c>
      <c r="AS55" s="962">
        <f t="shared" si="8"/>
        <v>0.52301255230125521</v>
      </c>
      <c r="AT55" s="959">
        <v>7</v>
      </c>
      <c r="AU55" s="964">
        <v>5.14</v>
      </c>
      <c r="AV55" s="965">
        <v>161</v>
      </c>
      <c r="AW55" s="965">
        <v>147</v>
      </c>
      <c r="AX55" s="965">
        <v>97</v>
      </c>
      <c r="AY55" s="962">
        <f t="shared" si="9"/>
        <v>0.52272727272727271</v>
      </c>
      <c r="AZ55" s="966">
        <v>17.149999999999999</v>
      </c>
      <c r="BA55" s="967">
        <v>6</v>
      </c>
      <c r="BB55" s="965">
        <v>-0.36099999999999999</v>
      </c>
      <c r="BC55" s="959">
        <v>7</v>
      </c>
      <c r="BD55" s="968">
        <v>-4.7E-2</v>
      </c>
      <c r="BE55" s="961">
        <v>49.85</v>
      </c>
      <c r="BF55" s="966">
        <v>16.22</v>
      </c>
      <c r="BG55" s="968">
        <v>0.45500000000000002</v>
      </c>
      <c r="BH55" s="968">
        <v>2.6120000000000001</v>
      </c>
      <c r="BI55" s="961">
        <v>51.64</v>
      </c>
      <c r="BJ55" s="962">
        <f t="shared" si="10"/>
        <v>6.2111801242236024E-2</v>
      </c>
      <c r="BK55" s="969">
        <f t="shared" si="11"/>
        <v>0.95187165775401072</v>
      </c>
      <c r="BL55" s="967">
        <f t="shared" si="12"/>
        <v>1013.9834589962468</v>
      </c>
      <c r="BM55" s="962">
        <f t="shared" si="13"/>
        <v>1.3983458996246749E-2</v>
      </c>
      <c r="BN55" s="966">
        <f>BU55/(Z55*I55)*60</f>
        <v>1.5121729925903524</v>
      </c>
      <c r="BO55" s="966">
        <f>BV55/(Z55*I55)*60</f>
        <v>1.3609556933313172</v>
      </c>
      <c r="BP55" s="961">
        <f>(BU55+BW55)/(Z55*I55)*60</f>
        <v>24.345985180704677</v>
      </c>
      <c r="BQ55" s="961">
        <f>(BV55+BX55)/(Z55*I55)*60</f>
        <v>28.277634961439592</v>
      </c>
      <c r="BR55" s="961">
        <f>(BU55+BW55+BY55+CB55)/(Z55*I55)*60</f>
        <v>51.867533645849086</v>
      </c>
      <c r="BS55" s="961">
        <f>(BV55+BX55+BZ55+CA55)/(Z55*I55)*60</f>
        <v>57.008921820656283</v>
      </c>
      <c r="BT55" s="961">
        <f t="shared" si="14"/>
        <v>-5.1413881748071972</v>
      </c>
      <c r="BU55" s="959">
        <v>10</v>
      </c>
      <c r="BV55" s="959">
        <v>9</v>
      </c>
      <c r="BW55" s="967">
        <v>151</v>
      </c>
      <c r="BX55" s="967">
        <v>178</v>
      </c>
      <c r="BY55" s="967">
        <v>85</v>
      </c>
      <c r="BZ55" s="967">
        <v>90</v>
      </c>
      <c r="CA55" s="967">
        <v>100</v>
      </c>
      <c r="CB55" s="967">
        <v>97</v>
      </c>
      <c r="CC55" s="959">
        <v>142</v>
      </c>
      <c r="CD55" s="959">
        <v>174</v>
      </c>
      <c r="CE55" s="962">
        <f t="shared" si="15"/>
        <v>0.44936708860759494</v>
      </c>
      <c r="CF55" s="964">
        <v>-5.7</v>
      </c>
      <c r="CG55" s="970">
        <f t="shared" si="16"/>
        <v>-8.4426894300373228</v>
      </c>
      <c r="CH55" s="966">
        <f>CO55/(AB55*I55)*60</f>
        <v>2.6753088567948495</v>
      </c>
      <c r="CI55" s="966">
        <f>CP55/(AB55*I55)*60</f>
        <v>3.0668174699843398</v>
      </c>
      <c r="CJ55" s="966">
        <f>(CO55+CQ55)/(AB55*I55)*60</f>
        <v>30.994431877501306</v>
      </c>
      <c r="CK55" s="966">
        <f>(CP55+CR55)/(AB55*I55)*60</f>
        <v>27.992865843048548</v>
      </c>
      <c r="CL55" s="966">
        <f>(CO55+CQ55+CS55+CV55)/(AB55*I55)*60</f>
        <v>60.814337915434145</v>
      </c>
      <c r="CM55" s="966">
        <f>(CP55+CR55+CT55+CU55)/(AB55*I55)*60</f>
        <v>56.572994605881334</v>
      </c>
      <c r="CN55" s="961">
        <f t="shared" si="17"/>
        <v>-9.3827314843600078</v>
      </c>
      <c r="CO55" s="967">
        <v>41</v>
      </c>
      <c r="CP55" s="967">
        <v>47</v>
      </c>
      <c r="CQ55" s="967">
        <v>434</v>
      </c>
      <c r="CR55" s="967">
        <v>382</v>
      </c>
      <c r="CS55" s="967">
        <v>205</v>
      </c>
      <c r="CT55" s="967">
        <v>194</v>
      </c>
      <c r="CU55" s="967">
        <v>244</v>
      </c>
      <c r="CV55" s="967">
        <v>252</v>
      </c>
      <c r="CW55" s="959">
        <v>4</v>
      </c>
      <c r="CX55" s="959">
        <v>0</v>
      </c>
      <c r="CY55" s="967">
        <f t="shared" si="18"/>
        <v>-4</v>
      </c>
      <c r="CZ55" s="966">
        <f>CW55/(X55*I55)*60</f>
        <v>0.58087938684948925</v>
      </c>
      <c r="DA55" s="966">
        <f>CX55/(X55*I55)*60</f>
        <v>0</v>
      </c>
      <c r="DB55" s="966">
        <f>CY55/(X55*I55)*60</f>
        <v>-0.58087938684948925</v>
      </c>
      <c r="DC55" s="9">
        <v>13</v>
      </c>
      <c r="DD55" s="9">
        <v>14</v>
      </c>
      <c r="DE55" s="971">
        <v>14.58</v>
      </c>
      <c r="DF55" s="971">
        <v>15.87</v>
      </c>
      <c r="DG55" s="971">
        <v>15.68</v>
      </c>
      <c r="DH55" s="971">
        <v>14.58</v>
      </c>
      <c r="DI55" s="959"/>
      <c r="DJ55" s="959"/>
      <c r="DK55" s="962" t="str">
        <f t="shared" si="19"/>
        <v xml:space="preserve"> </v>
      </c>
      <c r="DL55" s="967"/>
      <c r="DM55" s="967"/>
      <c r="DN55" s="959"/>
      <c r="DO55" s="959"/>
      <c r="DP55" s="959"/>
      <c r="DQ55" s="959"/>
      <c r="DR55" s="959"/>
      <c r="DS55" s="959"/>
      <c r="DT55" s="959"/>
      <c r="DU55" s="967"/>
      <c r="DV55" s="959"/>
      <c r="DW55" s="959"/>
      <c r="DX55" s="959"/>
      <c r="DY55" s="959"/>
      <c r="DZ55" s="959"/>
      <c r="EA55" s="9"/>
    </row>
    <row r="56" spans="1:131" ht="39" x14ac:dyDescent="0.25">
      <c r="A56" s="9" t="s">
        <v>293</v>
      </c>
      <c r="B56" s="9" t="s">
        <v>294</v>
      </c>
      <c r="C56" s="10" t="s">
        <v>371</v>
      </c>
      <c r="D56" s="959" t="s">
        <v>216</v>
      </c>
      <c r="E56" s="9" t="s">
        <v>372</v>
      </c>
      <c r="F56" s="9">
        <f>7/51</f>
        <v>0.13725490196078433</v>
      </c>
      <c r="G56" s="9" t="s">
        <v>456</v>
      </c>
      <c r="H56" s="9">
        <f>47/75</f>
        <v>0.62666666666666671</v>
      </c>
      <c r="I56" s="9">
        <v>51</v>
      </c>
      <c r="J56" s="9">
        <v>2</v>
      </c>
      <c r="K56" s="9">
        <v>4</v>
      </c>
      <c r="L56" s="957">
        <f>J56+K56</f>
        <v>6</v>
      </c>
      <c r="M56" s="958">
        <f t="shared" si="0"/>
        <v>0.74590786656542196</v>
      </c>
      <c r="N56" s="959">
        <v>2</v>
      </c>
      <c r="O56" s="959">
        <v>3</v>
      </c>
      <c r="P56" s="959">
        <v>1</v>
      </c>
      <c r="Q56" s="959">
        <v>50</v>
      </c>
      <c r="R56" s="959">
        <v>12</v>
      </c>
      <c r="S56" s="959">
        <v>10</v>
      </c>
      <c r="T56" s="959">
        <v>45</v>
      </c>
      <c r="U56" s="960">
        <f>IF(Q56&gt;0,J56/Q56,0)</f>
        <v>0.04</v>
      </c>
      <c r="V56" s="960">
        <f>IF(SUM(Q56:S56)&gt;0,J56/SUM(Q56:S56),0)</f>
        <v>2.7777777777777776E-2</v>
      </c>
      <c r="W56" s="961">
        <v>482.63333333330002</v>
      </c>
      <c r="X56" s="961">
        <f>W56/I56</f>
        <v>9.4633986928098039</v>
      </c>
      <c r="Y56" s="961">
        <v>478.65</v>
      </c>
      <c r="Z56" s="961">
        <f>Y56/I56</f>
        <v>9.3852941176470583</v>
      </c>
      <c r="AA56" s="961">
        <v>1993.72</v>
      </c>
      <c r="AB56" s="961">
        <f>AA56/I56</f>
        <v>39.092549019607844</v>
      </c>
      <c r="AC56" s="962">
        <f t="shared" si="1"/>
        <v>0.19359966348078969</v>
      </c>
      <c r="AD56" s="963">
        <f t="shared" si="2"/>
        <v>65</v>
      </c>
      <c r="AE56">
        <v>30</v>
      </c>
      <c r="AF56" s="959">
        <v>104</v>
      </c>
      <c r="AG56" s="959">
        <v>51</v>
      </c>
      <c r="AH56" s="959">
        <v>2</v>
      </c>
      <c r="AI56" s="959">
        <v>7</v>
      </c>
      <c r="AJ56" s="960">
        <f>IF(N56&gt;0,J56/BU56,0)</f>
        <v>0.22222222222222221</v>
      </c>
      <c r="AK56" s="960">
        <f t="shared" si="3"/>
        <v>0.44444444444444442</v>
      </c>
      <c r="AL56" s="960">
        <f t="shared" si="4"/>
        <v>0.66666666666666663</v>
      </c>
      <c r="AM56" s="959">
        <v>96</v>
      </c>
      <c r="AN56" s="962">
        <f t="shared" si="5"/>
        <v>0.21768707482993196</v>
      </c>
      <c r="AO56" s="959">
        <v>181</v>
      </c>
      <c r="AP56" s="962">
        <f t="shared" si="6"/>
        <v>0.41043083900226757</v>
      </c>
      <c r="AQ56" s="959">
        <v>164</v>
      </c>
      <c r="AR56" s="962">
        <f t="shared" si="7"/>
        <v>0.37188208616780044</v>
      </c>
      <c r="AS56" s="962">
        <f t="shared" si="8"/>
        <v>0.34657039711191334</v>
      </c>
      <c r="AT56" s="959">
        <v>1</v>
      </c>
      <c r="AU56" s="964">
        <v>-18.010000000000002</v>
      </c>
      <c r="AV56" s="965">
        <v>168</v>
      </c>
      <c r="AW56" s="965">
        <v>161</v>
      </c>
      <c r="AX56" s="965">
        <v>133</v>
      </c>
      <c r="AY56" s="962">
        <f t="shared" si="9"/>
        <v>0.51063829787234039</v>
      </c>
      <c r="AZ56" s="966">
        <v>16.95</v>
      </c>
      <c r="BA56" s="967">
        <v>12</v>
      </c>
      <c r="BB56" s="965">
        <v>-0.123</v>
      </c>
      <c r="BC56" s="959">
        <v>11</v>
      </c>
      <c r="BD56" s="968">
        <v>-1.431</v>
      </c>
      <c r="BE56" s="961">
        <v>49.25</v>
      </c>
      <c r="BF56" s="966">
        <v>16.78</v>
      </c>
      <c r="BG56" s="968">
        <v>-6.0439999999999996</v>
      </c>
      <c r="BH56" s="968">
        <v>-4.0069999999999997</v>
      </c>
      <c r="BI56" s="961">
        <v>49.17</v>
      </c>
      <c r="BJ56" s="962">
        <f t="shared" si="10"/>
        <v>4.6153846153846156E-2</v>
      </c>
      <c r="BK56" s="969">
        <f t="shared" si="11"/>
        <v>0.93650793650793651</v>
      </c>
      <c r="BL56" s="967">
        <f t="shared" si="12"/>
        <v>982.66178266178269</v>
      </c>
      <c r="BM56" s="962">
        <f t="shared" si="13"/>
        <v>-1.7338217338217332E-2</v>
      </c>
      <c r="BN56" s="966">
        <f>BU56/(Z56*I56)*60</f>
        <v>1.1281729865246004</v>
      </c>
      <c r="BO56" s="966">
        <f>BV56/(Z56*I56)*60</f>
        <v>2.0056408649326234</v>
      </c>
      <c r="BP56" s="961">
        <f>(BU56+BW56)/(Z56*I56)*60</f>
        <v>24.443748041366344</v>
      </c>
      <c r="BQ56" s="961">
        <f>(BV56+BX56)/(Z56*I56)*60</f>
        <v>31.588843622688813</v>
      </c>
      <c r="BR56" s="961">
        <f>(BU56+BW56+BY56+CB56)/(Z56*I56)*60</f>
        <v>43.748041366342839</v>
      </c>
      <c r="BS56" s="961">
        <f>(BV56+BX56+BZ56+CA56)/(Z56*I56)*60</f>
        <v>57.035412096521469</v>
      </c>
      <c r="BT56" s="961">
        <f t="shared" si="14"/>
        <v>-13.28737073017863</v>
      </c>
      <c r="BU56" s="959">
        <v>9</v>
      </c>
      <c r="BV56" s="959">
        <v>16</v>
      </c>
      <c r="BW56" s="967">
        <v>186</v>
      </c>
      <c r="BX56" s="967">
        <v>236</v>
      </c>
      <c r="BY56" s="967">
        <v>80</v>
      </c>
      <c r="BZ56" s="967">
        <v>89</v>
      </c>
      <c r="CA56" s="967">
        <v>114</v>
      </c>
      <c r="CB56" s="967">
        <v>74</v>
      </c>
      <c r="CC56" s="959">
        <v>162</v>
      </c>
      <c r="CD56" s="959">
        <v>227</v>
      </c>
      <c r="CE56" s="962">
        <f t="shared" si="15"/>
        <v>0.41645244215938304</v>
      </c>
      <c r="CF56" s="964">
        <v>-8.73</v>
      </c>
      <c r="CG56" s="970">
        <f t="shared" si="16"/>
        <v>-7.1190602608645488</v>
      </c>
      <c r="CH56" s="966">
        <f>CO56/(AB56*I56)*60</f>
        <v>2.2871817506971892</v>
      </c>
      <c r="CI56" s="966">
        <f>CP56/(AB56*I56)*60</f>
        <v>2.3172762474168893</v>
      </c>
      <c r="CJ56" s="966">
        <f>(CO56+CQ56)/(AB56*I56)*60</f>
        <v>31.478843568806052</v>
      </c>
      <c r="CK56" s="966">
        <f>(CP56+CR56)/(AB56*I56)*60</f>
        <v>30.696386654093853</v>
      </c>
      <c r="CL56" s="966">
        <f>(CO56+CQ56+CS56+CV56)/(AB56*I56)*60</f>
        <v>59.978331962361814</v>
      </c>
      <c r="CM56" s="966">
        <f>(CP56+CR56+CT56+CU56)/(AB56*I56)*60</f>
        <v>56.607748329755431</v>
      </c>
      <c r="CN56" s="961">
        <f t="shared" si="17"/>
        <v>-16.657954362785013</v>
      </c>
      <c r="CO56" s="967">
        <v>76</v>
      </c>
      <c r="CP56" s="967">
        <v>77</v>
      </c>
      <c r="CQ56" s="967">
        <v>970</v>
      </c>
      <c r="CR56" s="967">
        <v>943</v>
      </c>
      <c r="CS56" s="967">
        <v>402</v>
      </c>
      <c r="CT56" s="967">
        <v>402</v>
      </c>
      <c r="CU56" s="967">
        <v>459</v>
      </c>
      <c r="CV56" s="967">
        <v>545</v>
      </c>
      <c r="CW56" s="959">
        <v>1</v>
      </c>
      <c r="CX56" s="959">
        <v>4</v>
      </c>
      <c r="CY56" s="967">
        <f t="shared" si="18"/>
        <v>3</v>
      </c>
      <c r="CZ56" s="966">
        <f>CW56/(X56*I56)*60</f>
        <v>0.12431797776090367</v>
      </c>
      <c r="DA56" s="966">
        <f>CX56/(X56*I56)*60</f>
        <v>0.49727191104361468</v>
      </c>
      <c r="DB56" s="966">
        <f>CY56/(X56*I56)*60</f>
        <v>0.37295393328271098</v>
      </c>
      <c r="DC56" s="9">
        <v>14</v>
      </c>
      <c r="DD56" s="9">
        <v>18</v>
      </c>
      <c r="DE56" s="971">
        <v>13.03</v>
      </c>
      <c r="DF56" s="971">
        <v>16.86</v>
      </c>
      <c r="DG56" s="971">
        <v>16.010000000000002</v>
      </c>
      <c r="DH56" s="971">
        <v>18.02</v>
      </c>
      <c r="DI56" s="9">
        <v>55</v>
      </c>
      <c r="DJ56" s="9">
        <v>58</v>
      </c>
      <c r="DK56" s="962">
        <f t="shared" si="19"/>
        <v>0.48672566371681414</v>
      </c>
      <c r="DL56" s="967">
        <v>32</v>
      </c>
      <c r="DM56" s="967">
        <v>14</v>
      </c>
      <c r="DN56" s="9">
        <v>5</v>
      </c>
      <c r="DO56" s="9">
        <v>1</v>
      </c>
      <c r="DP56" s="9">
        <v>0.125</v>
      </c>
      <c r="DQ56" s="9">
        <v>0</v>
      </c>
      <c r="DR56" s="9">
        <v>0</v>
      </c>
      <c r="DS56" s="9">
        <v>0</v>
      </c>
      <c r="DT56" s="9">
        <v>53</v>
      </c>
      <c r="DU56" s="973">
        <v>31</v>
      </c>
      <c r="DV56" s="9">
        <v>0</v>
      </c>
      <c r="DW56" s="9">
        <v>6</v>
      </c>
      <c r="DX56" s="9">
        <v>-0.113</v>
      </c>
      <c r="DY56" s="9">
        <v>0</v>
      </c>
      <c r="DZ56" s="9">
        <v>0</v>
      </c>
      <c r="EA56" s="9">
        <v>0</v>
      </c>
    </row>
    <row r="57" spans="1:131" ht="26.25" x14ac:dyDescent="0.25">
      <c r="A57" s="9" t="s">
        <v>373</v>
      </c>
      <c r="B57" s="9" t="s">
        <v>330</v>
      </c>
      <c r="C57" s="10" t="s">
        <v>374</v>
      </c>
      <c r="D57" s="959" t="s">
        <v>375</v>
      </c>
      <c r="E57" s="9" t="s">
        <v>160</v>
      </c>
      <c r="F57" s="9">
        <f>7/34</f>
        <v>0.20588235294117646</v>
      </c>
      <c r="G57" s="9" t="s">
        <v>462</v>
      </c>
      <c r="H57" s="9">
        <f>70/58</f>
        <v>1.2068965517241379</v>
      </c>
      <c r="I57" s="9">
        <v>34</v>
      </c>
      <c r="J57" s="9">
        <v>1</v>
      </c>
      <c r="K57" s="9">
        <v>2</v>
      </c>
      <c r="L57" s="957">
        <f>J57+K57</f>
        <v>3</v>
      </c>
      <c r="M57" s="958">
        <f t="shared" si="0"/>
        <v>0.35343783748406932</v>
      </c>
      <c r="N57" s="959">
        <v>1</v>
      </c>
      <c r="O57" s="959">
        <v>1</v>
      </c>
      <c r="P57" s="959">
        <v>1</v>
      </c>
      <c r="Q57" s="959">
        <v>36</v>
      </c>
      <c r="R57" s="959">
        <v>14</v>
      </c>
      <c r="S57" s="959">
        <v>22</v>
      </c>
      <c r="T57" s="959">
        <v>20</v>
      </c>
      <c r="U57" s="960">
        <f>IF(Q57&gt;0,J57/Q57,0)</f>
        <v>2.7777777777777776E-2</v>
      </c>
      <c r="V57" s="960">
        <f>IF(SUM(Q57:S57)&gt;0,J57/SUM(Q57:S57),0)</f>
        <v>1.3888888888888888E-2</v>
      </c>
      <c r="W57" s="961">
        <v>509.28333333329999</v>
      </c>
      <c r="X57" s="961">
        <f>W57/I57</f>
        <v>14.97892156862647</v>
      </c>
      <c r="Y57" s="961">
        <v>474.58</v>
      </c>
      <c r="Z57" s="961">
        <f>Y57/I57</f>
        <v>13.958235294117646</v>
      </c>
      <c r="AA57" s="961">
        <v>1119.29</v>
      </c>
      <c r="AB57" s="961">
        <f>AA57/I57</f>
        <v>32.92029411764706</v>
      </c>
      <c r="AC57" s="962">
        <f t="shared" si="1"/>
        <v>0.29775326720497908</v>
      </c>
      <c r="AD57" s="963">
        <f t="shared" si="2"/>
        <v>17.692307692307693</v>
      </c>
      <c r="AE57">
        <v>19</v>
      </c>
      <c r="AF57" s="959">
        <v>13</v>
      </c>
      <c r="AG57" s="959">
        <v>34</v>
      </c>
      <c r="AH57" s="959">
        <v>14</v>
      </c>
      <c r="AI57" s="959">
        <v>9</v>
      </c>
      <c r="AJ57" s="960">
        <f>IF(N57&gt;0,J57/BU57,0)</f>
        <v>7.6923076923076927E-2</v>
      </c>
      <c r="AK57" s="960">
        <f t="shared" si="3"/>
        <v>0.15384615384615385</v>
      </c>
      <c r="AL57" s="960">
        <f t="shared" si="4"/>
        <v>0.23076923076923078</v>
      </c>
      <c r="AM57" s="959">
        <v>154</v>
      </c>
      <c r="AN57" s="962">
        <f t="shared" si="5"/>
        <v>0.38024691358024693</v>
      </c>
      <c r="AO57" s="959">
        <v>121</v>
      </c>
      <c r="AP57" s="962">
        <f t="shared" si="6"/>
        <v>0.29876543209876544</v>
      </c>
      <c r="AQ57" s="959">
        <v>130</v>
      </c>
      <c r="AR57" s="962">
        <f t="shared" si="7"/>
        <v>0.32098765432098764</v>
      </c>
      <c r="AS57" s="962">
        <f t="shared" si="8"/>
        <v>0.56000000000000005</v>
      </c>
      <c r="AT57" s="959">
        <v>7</v>
      </c>
      <c r="AU57" s="964">
        <v>3.45</v>
      </c>
      <c r="AV57" s="965">
        <v>168</v>
      </c>
      <c r="AW57" s="965">
        <v>143</v>
      </c>
      <c r="AX57" s="965">
        <v>148</v>
      </c>
      <c r="AY57" s="962">
        <f t="shared" si="9"/>
        <v>0.54019292604501612</v>
      </c>
      <c r="AZ57" s="966">
        <v>17.05</v>
      </c>
      <c r="BA57" s="967">
        <v>7</v>
      </c>
      <c r="BB57" s="965">
        <v>-0.67</v>
      </c>
      <c r="BC57" s="959">
        <v>8</v>
      </c>
      <c r="BD57" s="968">
        <v>0.37</v>
      </c>
      <c r="BE57" s="961">
        <v>50.11</v>
      </c>
      <c r="BF57" s="966">
        <v>16.7</v>
      </c>
      <c r="BG57" s="968">
        <v>0.39200000000000002</v>
      </c>
      <c r="BH57" s="968">
        <v>5.2809999999999997</v>
      </c>
      <c r="BI57" s="961">
        <v>51.47</v>
      </c>
      <c r="BJ57" s="962">
        <f t="shared" si="10"/>
        <v>5.6521739130434782E-2</v>
      </c>
      <c r="BK57" s="969">
        <f t="shared" si="11"/>
        <v>0.91845493562231761</v>
      </c>
      <c r="BL57" s="967">
        <f t="shared" si="12"/>
        <v>974.97667475275239</v>
      </c>
      <c r="BM57" s="962">
        <f t="shared" si="13"/>
        <v>-2.5023325247247603E-2</v>
      </c>
      <c r="BN57" s="966">
        <f>BU57/(Z57*I57)*60</f>
        <v>1.643558514897383</v>
      </c>
      <c r="BO57" s="966">
        <f>BV57/(Z57*I57)*60</f>
        <v>2.4021239833115597</v>
      </c>
      <c r="BP57" s="961">
        <f>(BU57+BW57)/(Z57*I57)*60</f>
        <v>29.078342955876774</v>
      </c>
      <c r="BQ57" s="961">
        <f>(BV57+BX57)/(Z57*I57)*60</f>
        <v>29.457625690083866</v>
      </c>
      <c r="BR57" s="961">
        <f>(BU57+BW57+BY57+CB57)/(Z57*I57)*60</f>
        <v>54.743141303889757</v>
      </c>
      <c r="BS57" s="961">
        <f>(BV57+BX57+BZ57+CA57)/(Z57*I57)*60</f>
        <v>49.43318302499052</v>
      </c>
      <c r="BT57" s="961">
        <f t="shared" si="14"/>
        <v>5.3099582788992379</v>
      </c>
      <c r="BU57" s="959">
        <v>13</v>
      </c>
      <c r="BV57" s="959">
        <v>19</v>
      </c>
      <c r="BW57" s="967">
        <v>217</v>
      </c>
      <c r="BX57" s="967">
        <v>214</v>
      </c>
      <c r="BY57" s="967">
        <v>92</v>
      </c>
      <c r="BZ57" s="967">
        <v>71</v>
      </c>
      <c r="CA57" s="967">
        <v>87</v>
      </c>
      <c r="CB57" s="967">
        <v>111</v>
      </c>
      <c r="CC57" s="959">
        <v>209</v>
      </c>
      <c r="CD57" s="959">
        <v>199</v>
      </c>
      <c r="CE57" s="962">
        <f t="shared" si="15"/>
        <v>0.51225490196078427</v>
      </c>
      <c r="CF57" s="964">
        <v>0.24</v>
      </c>
      <c r="CG57" s="970">
        <f t="shared" si="16"/>
        <v>-1.1310417211007628</v>
      </c>
      <c r="CH57" s="966">
        <f>CO57/(AB57*I57)*60</f>
        <v>2.9482975815025596</v>
      </c>
      <c r="CI57" s="966">
        <f>CP57/(AB57*I57)*60</f>
        <v>2.0906110123381785</v>
      </c>
      <c r="CJ57" s="966">
        <f>(CO57+CQ57)/(AB57*I57)*60</f>
        <v>30.179846152471658</v>
      </c>
      <c r="CK57" s="966">
        <f>(CP57+CR57)/(AB57*I57)*60</f>
        <v>28.410867603570122</v>
      </c>
      <c r="CL57" s="966">
        <f>(CO57+CQ57+CS57+CV57)/(AB57*I57)*60</f>
        <v>56.821735207140243</v>
      </c>
      <c r="CM57" s="966">
        <f>(CP57+CR57+CT57+CU57)/(AB57*I57)*60</f>
        <v>52.372486129600013</v>
      </c>
      <c r="CN57" s="961">
        <f t="shared" si="17"/>
        <v>0.86070920135900764</v>
      </c>
      <c r="CO57" s="967">
        <v>55</v>
      </c>
      <c r="CP57" s="967">
        <v>39</v>
      </c>
      <c r="CQ57" s="967">
        <v>508</v>
      </c>
      <c r="CR57" s="967">
        <v>491</v>
      </c>
      <c r="CS57" s="967">
        <v>222</v>
      </c>
      <c r="CT57" s="967">
        <v>191</v>
      </c>
      <c r="CU57" s="967">
        <v>256</v>
      </c>
      <c r="CV57" s="967">
        <v>275</v>
      </c>
      <c r="CW57" s="959">
        <v>2</v>
      </c>
      <c r="CX57" s="959">
        <v>2</v>
      </c>
      <c r="CY57" s="967">
        <f t="shared" si="18"/>
        <v>0</v>
      </c>
      <c r="CZ57" s="966">
        <f>CW57/(X57*I57)*60</f>
        <v>0.23562522498937954</v>
      </c>
      <c r="DA57" s="966">
        <f>CX57/(X57*I57)*60</f>
        <v>0.23562522498937954</v>
      </c>
      <c r="DB57" s="966">
        <f>CY57/(X57*I57)*60</f>
        <v>0</v>
      </c>
      <c r="DC57" s="9">
        <v>17</v>
      </c>
      <c r="DD57" s="9">
        <v>18</v>
      </c>
      <c r="DE57" s="971">
        <v>17.63</v>
      </c>
      <c r="DF57" s="971">
        <v>17.149999999999999</v>
      </c>
      <c r="DG57" s="971">
        <v>17.79</v>
      </c>
      <c r="DH57" s="971">
        <v>16.91</v>
      </c>
      <c r="DI57" s="959"/>
      <c r="DJ57" s="959"/>
      <c r="DK57" s="962" t="str">
        <f t="shared" si="19"/>
        <v xml:space="preserve"> </v>
      </c>
      <c r="DL57" s="967"/>
      <c r="DM57" s="967"/>
      <c r="DN57" s="959"/>
      <c r="DO57" s="959"/>
      <c r="DP57" s="959"/>
      <c r="DQ57" s="959"/>
      <c r="DR57" s="959"/>
      <c r="DS57" s="959"/>
      <c r="DT57" s="959"/>
      <c r="DU57" s="967"/>
      <c r="DV57" s="959"/>
      <c r="DW57" s="959"/>
      <c r="DX57" s="959"/>
      <c r="DY57" s="959"/>
      <c r="DZ57" s="959"/>
      <c r="EA57" s="9"/>
    </row>
    <row r="58" spans="1:131" ht="26.25" x14ac:dyDescent="0.25">
      <c r="A58" s="9" t="s">
        <v>275</v>
      </c>
      <c r="B58" s="9" t="s">
        <v>323</v>
      </c>
      <c r="C58" s="10" t="s">
        <v>376</v>
      </c>
      <c r="D58" s="959" t="s">
        <v>177</v>
      </c>
      <c r="E58" s="9" t="s">
        <v>160</v>
      </c>
      <c r="F58" s="9">
        <f>7/27</f>
        <v>0.25925925925925924</v>
      </c>
      <c r="G58" s="9" t="s">
        <v>456</v>
      </c>
      <c r="H58" s="9">
        <f>16/54</f>
        <v>0.29629629629629628</v>
      </c>
      <c r="I58" s="9">
        <v>27</v>
      </c>
      <c r="J58" s="9">
        <v>1</v>
      </c>
      <c r="K58" s="9">
        <v>4</v>
      </c>
      <c r="L58" s="957">
        <f>J58+K58</f>
        <v>5</v>
      </c>
      <c r="M58" s="958">
        <f t="shared" si="0"/>
        <v>0.7249295207410974</v>
      </c>
      <c r="N58" s="959">
        <v>2</v>
      </c>
      <c r="O58" s="959">
        <v>0</v>
      </c>
      <c r="P58" s="959">
        <v>3</v>
      </c>
      <c r="Q58" s="959">
        <v>35</v>
      </c>
      <c r="R58" s="959">
        <v>12</v>
      </c>
      <c r="S58" s="959">
        <v>16</v>
      </c>
      <c r="T58" s="959">
        <v>19</v>
      </c>
      <c r="U58" s="960">
        <f>IF(Q58&gt;0,J58/Q58,0)</f>
        <v>2.8571428571428571E-2</v>
      </c>
      <c r="V58" s="960">
        <f>IF(SUM(Q58:S58)&gt;0,J58/SUM(Q58:S58),0)</f>
        <v>1.5873015873015872E-2</v>
      </c>
      <c r="W58" s="961">
        <v>413.8333333333</v>
      </c>
      <c r="X58" s="961">
        <f>W58/I58</f>
        <v>15.327160493825927</v>
      </c>
      <c r="Y58" s="961">
        <v>397.59</v>
      </c>
      <c r="Z58" s="961">
        <f>Y58/I58</f>
        <v>14.725555555555555</v>
      </c>
      <c r="AA58" s="961">
        <v>863.08</v>
      </c>
      <c r="AB58" s="961">
        <f>AA58/I58</f>
        <v>31.965925925925927</v>
      </c>
      <c r="AC58" s="962">
        <f t="shared" si="1"/>
        <v>0.31537991702824686</v>
      </c>
      <c r="AD58" s="963">
        <f t="shared" si="2"/>
        <v>0</v>
      </c>
      <c r="AE58">
        <v>17</v>
      </c>
      <c r="AF58" s="959">
        <v>40</v>
      </c>
      <c r="AG58" s="959">
        <v>25</v>
      </c>
      <c r="AH58" s="959">
        <v>14</v>
      </c>
      <c r="AI58" s="959">
        <v>14</v>
      </c>
      <c r="AJ58" s="960">
        <f>IF(N58&gt;0,J58/BU58,0)</f>
        <v>4.3478260869565216E-2</v>
      </c>
      <c r="AK58" s="960">
        <f t="shared" si="3"/>
        <v>0.13043478260869565</v>
      </c>
      <c r="AL58" s="960">
        <f t="shared" si="4"/>
        <v>0.17391304347826086</v>
      </c>
      <c r="AM58" s="959">
        <v>117</v>
      </c>
      <c r="AN58" s="962">
        <f t="shared" si="5"/>
        <v>0.34411764705882353</v>
      </c>
      <c r="AO58" s="959">
        <v>108</v>
      </c>
      <c r="AP58" s="962">
        <f t="shared" si="6"/>
        <v>0.31764705882352939</v>
      </c>
      <c r="AQ58" s="959">
        <v>115</v>
      </c>
      <c r="AR58" s="962">
        <f t="shared" si="7"/>
        <v>0.33823529411764708</v>
      </c>
      <c r="AS58" s="962">
        <f t="shared" si="8"/>
        <v>0.52</v>
      </c>
      <c r="AT58" s="959">
        <v>3</v>
      </c>
      <c r="AU58" s="964">
        <v>2</v>
      </c>
      <c r="AV58" s="965">
        <v>137</v>
      </c>
      <c r="AW58" s="965">
        <v>127</v>
      </c>
      <c r="AX58" s="965">
        <v>110</v>
      </c>
      <c r="AY58" s="962">
        <f t="shared" si="9"/>
        <v>0.51893939393939392</v>
      </c>
      <c r="AZ58" s="966">
        <v>17.23</v>
      </c>
      <c r="BA58" s="967">
        <v>6</v>
      </c>
      <c r="BB58" s="965">
        <v>0.112</v>
      </c>
      <c r="BC58" s="959">
        <v>7</v>
      </c>
      <c r="BD58" s="968">
        <v>-1.615</v>
      </c>
      <c r="BE58" s="961">
        <v>49.31</v>
      </c>
      <c r="BF58" s="966">
        <v>16.559999999999999</v>
      </c>
      <c r="BG58" s="968">
        <v>1.21</v>
      </c>
      <c r="BH58" s="968">
        <v>6.7050000000000001</v>
      </c>
      <c r="BI58" s="961">
        <v>53.54</v>
      </c>
      <c r="BJ58" s="962">
        <f t="shared" si="10"/>
        <v>0.1031390134529148</v>
      </c>
      <c r="BK58" s="969">
        <f t="shared" si="11"/>
        <v>0.91099476439790572</v>
      </c>
      <c r="BL58" s="967">
        <f t="shared" si="12"/>
        <v>1014.1337778508205</v>
      </c>
      <c r="BM58" s="962">
        <f t="shared" si="13"/>
        <v>1.4133777850820525E-2</v>
      </c>
      <c r="BN58" s="966">
        <f>BU58/(Z58*I58)*60</f>
        <v>3.4709122462838602</v>
      </c>
      <c r="BO58" s="966">
        <f>BV58/(Z58*I58)*60</f>
        <v>2.5654568776880708</v>
      </c>
      <c r="BP58" s="961">
        <f>(BU58+BW58)/(Z58*I58)*60</f>
        <v>33.652757866143517</v>
      </c>
      <c r="BQ58" s="961">
        <f>(BV58+BX58)/(Z58*I58)*60</f>
        <v>28.823662566965972</v>
      </c>
      <c r="BR58" s="961">
        <f>(BU58+BW58+BY58+CB58)/(Z58*I58)*60</f>
        <v>59.760054327322123</v>
      </c>
      <c r="BS58" s="961">
        <f>(BV58+BX58+BZ58+CA58)/(Z58*I58)*60</f>
        <v>50.705500641364225</v>
      </c>
      <c r="BT58" s="961">
        <f t="shared" si="14"/>
        <v>9.0545536859578988</v>
      </c>
      <c r="BU58" s="959">
        <v>23</v>
      </c>
      <c r="BV58" s="959">
        <v>17</v>
      </c>
      <c r="BW58" s="967">
        <v>200</v>
      </c>
      <c r="BX58" s="967">
        <v>174</v>
      </c>
      <c r="BY58" s="967">
        <v>85</v>
      </c>
      <c r="BZ58" s="967">
        <v>76</v>
      </c>
      <c r="CA58" s="967">
        <v>69</v>
      </c>
      <c r="CB58" s="967">
        <v>88</v>
      </c>
      <c r="CC58" s="959">
        <v>205</v>
      </c>
      <c r="CD58" s="959">
        <v>183</v>
      </c>
      <c r="CE58" s="962">
        <f t="shared" si="15"/>
        <v>0.52835051546391754</v>
      </c>
      <c r="CF58" s="964">
        <v>0.4</v>
      </c>
      <c r="CG58" s="970">
        <f t="shared" si="16"/>
        <v>0.16455368595789821</v>
      </c>
      <c r="CH58" s="966">
        <f>CO58/(AB58*I58)*60</f>
        <v>2.9197756870741993</v>
      </c>
      <c r="CI58" s="966">
        <f>CP58/(AB58*I58)*60</f>
        <v>2.2245909996755806</v>
      </c>
      <c r="CJ58" s="966">
        <f>(CO58+CQ58)/(AB58*I58)*60</f>
        <v>30.031978495620333</v>
      </c>
      <c r="CK58" s="966">
        <f>(CP58+CR58)/(AB58*I58)*60</f>
        <v>25.721833433748898</v>
      </c>
      <c r="CL58" s="966">
        <f>(CO58+CQ58+CS58+CV58)/(AB58*I58)*60</f>
        <v>54.08536867961255</v>
      </c>
      <c r="CM58" s="966">
        <f>(CP58+CR58+CT58+CU58)/(AB58*I58)*60</f>
        <v>54.154887148352408</v>
      </c>
      <c r="CN58" s="961">
        <f t="shared" si="17"/>
        <v>9.1240721546977568</v>
      </c>
      <c r="CO58" s="967">
        <v>42</v>
      </c>
      <c r="CP58" s="967">
        <v>32</v>
      </c>
      <c r="CQ58" s="967">
        <v>390</v>
      </c>
      <c r="CR58" s="967">
        <v>338</v>
      </c>
      <c r="CS58" s="967">
        <v>156</v>
      </c>
      <c r="CT58" s="967">
        <v>184</v>
      </c>
      <c r="CU58" s="967">
        <v>225</v>
      </c>
      <c r="CV58" s="967">
        <v>190</v>
      </c>
      <c r="CW58" s="959">
        <v>6</v>
      </c>
      <c r="CX58" s="959">
        <v>3</v>
      </c>
      <c r="CY58" s="967">
        <f t="shared" si="18"/>
        <v>-3</v>
      </c>
      <c r="CZ58" s="966">
        <f>CW58/(X58*I58)*60</f>
        <v>0.86991542488931695</v>
      </c>
      <c r="DA58" s="966">
        <f>CX58/(X58*I58)*60</f>
        <v>0.43495771244465847</v>
      </c>
      <c r="DB58" s="966">
        <f>CY58/(X58*I58)*60</f>
        <v>-0.43495771244465847</v>
      </c>
      <c r="DC58" s="9">
        <v>17</v>
      </c>
      <c r="DD58" s="9">
        <v>16</v>
      </c>
      <c r="DE58" s="971">
        <v>18.16</v>
      </c>
      <c r="DF58" s="971">
        <v>13.7</v>
      </c>
      <c r="DG58" s="971">
        <v>16.649999999999999</v>
      </c>
      <c r="DH58" s="971">
        <v>13.31</v>
      </c>
      <c r="DI58" s="959"/>
      <c r="DJ58" s="959"/>
      <c r="DK58" s="962" t="str">
        <f t="shared" si="19"/>
        <v xml:space="preserve"> </v>
      </c>
      <c r="DL58" s="967"/>
      <c r="DM58" s="967"/>
      <c r="DN58" s="959"/>
      <c r="DO58" s="959"/>
      <c r="DP58" s="959"/>
      <c r="DQ58" s="959"/>
      <c r="DR58" s="959"/>
      <c r="DS58" s="959"/>
      <c r="DT58" s="959"/>
      <c r="DU58" s="967"/>
      <c r="DV58" s="959"/>
      <c r="DW58" s="959"/>
      <c r="DX58" s="959"/>
      <c r="DY58" s="959"/>
      <c r="DZ58" s="959"/>
      <c r="EA58" s="9"/>
    </row>
    <row r="59" spans="1:131" ht="26.25" customHeight="1" x14ac:dyDescent="0.25">
      <c r="A59" s="9" t="s">
        <v>377</v>
      </c>
      <c r="B59" s="9" t="s">
        <v>298</v>
      </c>
      <c r="C59" s="10" t="s">
        <v>378</v>
      </c>
      <c r="D59" s="959" t="s">
        <v>150</v>
      </c>
      <c r="E59" s="9" t="s">
        <v>137</v>
      </c>
      <c r="F59" s="9">
        <f>7/18</f>
        <v>0.3888888888888889</v>
      </c>
      <c r="G59" s="9" t="s">
        <v>461</v>
      </c>
      <c r="H59" s="9">
        <f>99/59</f>
        <v>1.6779661016949152</v>
      </c>
      <c r="I59" s="9">
        <v>18</v>
      </c>
      <c r="J59" s="9">
        <v>1</v>
      </c>
      <c r="K59" s="9">
        <v>5</v>
      </c>
      <c r="L59" s="957">
        <f>J59+K59</f>
        <v>6</v>
      </c>
      <c r="M59" s="958">
        <f t="shared" si="0"/>
        <v>1.8612666953895973</v>
      </c>
      <c r="N59" s="959">
        <v>1</v>
      </c>
      <c r="O59" s="959">
        <v>4</v>
      </c>
      <c r="P59" s="959">
        <v>1</v>
      </c>
      <c r="Q59" s="959">
        <v>16</v>
      </c>
      <c r="R59" s="959">
        <v>5</v>
      </c>
      <c r="S59" s="959">
        <v>10</v>
      </c>
      <c r="T59" s="959">
        <v>21</v>
      </c>
      <c r="U59" s="960">
        <f>IF(Q59&gt;0,J59/Q59,0)</f>
        <v>6.25E-2</v>
      </c>
      <c r="V59" s="960">
        <f>IF(SUM(Q59:S59)&gt;0,J59/SUM(Q59:S59),0)</f>
        <v>3.2258064516129031E-2</v>
      </c>
      <c r="W59" s="961">
        <v>193.4166666667</v>
      </c>
      <c r="X59" s="961">
        <f>W59/I59</f>
        <v>10.745370370372221</v>
      </c>
      <c r="Y59" s="961">
        <v>192.62</v>
      </c>
      <c r="Z59" s="961">
        <f>Y59/I59</f>
        <v>10.701111111111111</v>
      </c>
      <c r="AA59" s="961">
        <v>650.66</v>
      </c>
      <c r="AB59" s="961">
        <f>AA59/I59</f>
        <v>36.147777777777776</v>
      </c>
      <c r="AC59" s="962">
        <f t="shared" si="1"/>
        <v>0.22841760743762451</v>
      </c>
      <c r="AD59" s="963">
        <f t="shared" si="2"/>
        <v>38.5</v>
      </c>
      <c r="AE59">
        <v>5</v>
      </c>
      <c r="AF59" s="959">
        <v>6</v>
      </c>
      <c r="AG59" s="959">
        <v>31</v>
      </c>
      <c r="AH59" s="959">
        <v>6</v>
      </c>
      <c r="AI59" s="959">
        <v>5</v>
      </c>
      <c r="AJ59" s="960">
        <f>IF(N59&gt;0,J59/BU59,0)</f>
        <v>0.125</v>
      </c>
      <c r="AK59" s="960">
        <f t="shared" si="3"/>
        <v>0.625</v>
      </c>
      <c r="AL59" s="960">
        <f t="shared" si="4"/>
        <v>0.75</v>
      </c>
      <c r="AM59" s="959">
        <v>58</v>
      </c>
      <c r="AN59" s="962">
        <f t="shared" si="5"/>
        <v>0.35582822085889571</v>
      </c>
      <c r="AO59" s="959">
        <v>38</v>
      </c>
      <c r="AP59" s="962">
        <f t="shared" si="6"/>
        <v>0.23312883435582821</v>
      </c>
      <c r="AQ59" s="959">
        <v>67</v>
      </c>
      <c r="AR59" s="962">
        <f t="shared" si="7"/>
        <v>0.41104294478527609</v>
      </c>
      <c r="AS59" s="962">
        <f t="shared" si="8"/>
        <v>0.60416666666666663</v>
      </c>
      <c r="AT59" s="959">
        <v>12</v>
      </c>
      <c r="AU59" s="964">
        <v>10.67</v>
      </c>
      <c r="AV59" s="965">
        <v>59</v>
      </c>
      <c r="AW59" s="965">
        <v>59</v>
      </c>
      <c r="AX59" s="965">
        <v>54</v>
      </c>
      <c r="AY59" s="962">
        <f t="shared" si="9"/>
        <v>0.5</v>
      </c>
      <c r="AZ59" s="966">
        <v>17.07</v>
      </c>
      <c r="BA59" s="967">
        <v>9</v>
      </c>
      <c r="BB59" s="965">
        <v>-0.28200000000000003</v>
      </c>
      <c r="BC59" s="959">
        <v>10</v>
      </c>
      <c r="BD59" s="968">
        <v>-8.0000000000000002E-3</v>
      </c>
      <c r="BE59" s="961">
        <v>49.2</v>
      </c>
      <c r="BF59" s="966">
        <v>17.579999999999998</v>
      </c>
      <c r="BG59" s="968">
        <v>-0.307</v>
      </c>
      <c r="BH59" s="968">
        <v>-0.80800000000000005</v>
      </c>
      <c r="BI59" s="961">
        <v>49.25</v>
      </c>
      <c r="BJ59" s="962">
        <f t="shared" si="10"/>
        <v>0.1038961038961039</v>
      </c>
      <c r="BK59" s="969">
        <f t="shared" si="11"/>
        <v>0.96202531645569622</v>
      </c>
      <c r="BL59" s="967">
        <f t="shared" si="12"/>
        <v>1065.9214203518002</v>
      </c>
      <c r="BM59" s="962">
        <f t="shared" si="13"/>
        <v>6.5921420351800125E-2</v>
      </c>
      <c r="BN59" s="966">
        <f>BU59/(Z59*I59)*60</f>
        <v>2.4919530682172155</v>
      </c>
      <c r="BO59" s="966">
        <f>BV59/(Z59*I59)*60</f>
        <v>0.93448240058145571</v>
      </c>
      <c r="BP59" s="961">
        <f>(BU59+BW59)/(Z59*I59)*60</f>
        <v>23.985048281590696</v>
      </c>
      <c r="BQ59" s="961">
        <f>(BV59+BX59)/(Z59*I59)*60</f>
        <v>24.608036548645</v>
      </c>
      <c r="BR59" s="961">
        <f>(BU59+BW59+BY59+CB59)/(Z59*I59)*60</f>
        <v>50.150555497871451</v>
      </c>
      <c r="BS59" s="961">
        <f>(BV59+BX59+BZ59+CA59)/(Z59*I59)*60</f>
        <v>47.658602429654245</v>
      </c>
      <c r="BT59" s="961">
        <f t="shared" si="14"/>
        <v>2.4919530682172066</v>
      </c>
      <c r="BU59" s="959">
        <v>8</v>
      </c>
      <c r="BV59" s="959">
        <v>3</v>
      </c>
      <c r="BW59" s="967">
        <v>69</v>
      </c>
      <c r="BX59" s="967">
        <v>76</v>
      </c>
      <c r="BY59" s="967">
        <v>29</v>
      </c>
      <c r="BZ59" s="967">
        <v>27</v>
      </c>
      <c r="CA59" s="967">
        <v>47</v>
      </c>
      <c r="CB59" s="967">
        <v>55</v>
      </c>
      <c r="CC59" s="959">
        <v>73</v>
      </c>
      <c r="CD59" s="959">
        <v>76</v>
      </c>
      <c r="CE59" s="962">
        <f t="shared" si="15"/>
        <v>0.48993288590604028</v>
      </c>
      <c r="CF59" s="964">
        <v>-1.75</v>
      </c>
      <c r="CG59" s="970">
        <f t="shared" si="16"/>
        <v>0.70195306821720749</v>
      </c>
      <c r="CH59" s="966">
        <f>CO59/(AB59*I59)*60</f>
        <v>2.9508499062490396</v>
      </c>
      <c r="CI59" s="966">
        <f>CP59/(AB59*I59)*60</f>
        <v>3.2274920849598874</v>
      </c>
      <c r="CJ59" s="966">
        <f>(CO59+CQ59)/(AB59*I59)*60</f>
        <v>32.18270679002859</v>
      </c>
      <c r="CK59" s="966">
        <f>(CP59+CR59)/(AB59*I59)*60</f>
        <v>30.338425598622941</v>
      </c>
      <c r="CL59" s="966">
        <f>(CO59+CQ59+CS59+CV59)/(AB59*I59)*60</f>
        <v>57.910429410137404</v>
      </c>
      <c r="CM59" s="966">
        <f>(CP59+CR59+CT59+CU59)/(AB59*I59)*60</f>
        <v>55.973934159161466</v>
      </c>
      <c r="CN59" s="961">
        <f t="shared" si="17"/>
        <v>0.55545781724126897</v>
      </c>
      <c r="CO59" s="967">
        <v>32</v>
      </c>
      <c r="CP59" s="967">
        <v>35</v>
      </c>
      <c r="CQ59" s="967">
        <v>317</v>
      </c>
      <c r="CR59" s="967">
        <v>294</v>
      </c>
      <c r="CS59" s="967">
        <v>121</v>
      </c>
      <c r="CT59" s="967">
        <v>146</v>
      </c>
      <c r="CU59" s="967">
        <v>132</v>
      </c>
      <c r="CV59" s="967">
        <v>158</v>
      </c>
      <c r="CW59" s="959">
        <v>0</v>
      </c>
      <c r="CX59" s="959">
        <v>4</v>
      </c>
      <c r="CY59" s="967">
        <f t="shared" si="18"/>
        <v>4</v>
      </c>
      <c r="CZ59" s="966">
        <f>CW59/(X59*I59)*60</f>
        <v>0</v>
      </c>
      <c r="DA59" s="966">
        <f>CX59/(X59*I59)*60</f>
        <v>1.2408444635930649</v>
      </c>
      <c r="DB59" s="966">
        <f>CY59/(X59*I59)*60</f>
        <v>1.2408444635930649</v>
      </c>
      <c r="DC59" s="9">
        <v>7</v>
      </c>
      <c r="DD59" s="9">
        <v>7</v>
      </c>
      <c r="DE59" s="971">
        <v>8.4499999999999993</v>
      </c>
      <c r="DF59" s="971">
        <v>6.75</v>
      </c>
      <c r="DG59" s="971">
        <v>8.35</v>
      </c>
      <c r="DH59" s="971">
        <v>7.6</v>
      </c>
      <c r="DI59" s="9">
        <v>0</v>
      </c>
      <c r="DJ59" s="9">
        <v>0</v>
      </c>
      <c r="DK59" s="962" t="str">
        <f t="shared" si="19"/>
        <v xml:space="preserve"> </v>
      </c>
      <c r="DL59" s="967"/>
      <c r="DM59" s="967"/>
      <c r="DN59" s="959"/>
      <c r="DO59" s="959"/>
      <c r="DP59" s="959"/>
      <c r="DQ59" s="959"/>
      <c r="DR59" s="959"/>
      <c r="DS59" s="959"/>
      <c r="DT59" s="972"/>
      <c r="DU59" s="973"/>
      <c r="DV59" s="9"/>
      <c r="DW59" s="9"/>
      <c r="DX59" s="9"/>
      <c r="DY59" s="9"/>
      <c r="DZ59" s="9"/>
      <c r="EA59" s="959"/>
    </row>
    <row r="60" spans="1:131" ht="26.25" x14ac:dyDescent="0.25">
      <c r="A60" s="9" t="s">
        <v>379</v>
      </c>
      <c r="B60" s="9" t="s">
        <v>339</v>
      </c>
      <c r="C60" s="10" t="s">
        <v>380</v>
      </c>
      <c r="D60" s="959" t="s">
        <v>260</v>
      </c>
      <c r="E60" s="9" t="s">
        <v>155</v>
      </c>
      <c r="F60" s="9">
        <f>7/34</f>
        <v>0.20588235294117646</v>
      </c>
      <c r="G60" s="9" t="s">
        <v>456</v>
      </c>
      <c r="H60" s="9">
        <f>38/68</f>
        <v>0.55882352941176472</v>
      </c>
      <c r="I60" s="9">
        <v>34</v>
      </c>
      <c r="J60" s="9">
        <v>1</v>
      </c>
      <c r="K60" s="9">
        <v>5</v>
      </c>
      <c r="L60" s="957">
        <f>J60+K60</f>
        <v>6</v>
      </c>
      <c r="M60" s="958">
        <f t="shared" si="0"/>
        <v>1.0203599603192386</v>
      </c>
      <c r="N60" s="959">
        <v>1</v>
      </c>
      <c r="O60" s="959">
        <v>2</v>
      </c>
      <c r="P60" s="959">
        <v>3</v>
      </c>
      <c r="Q60" s="959">
        <v>32</v>
      </c>
      <c r="R60" s="959">
        <v>15</v>
      </c>
      <c r="S60" s="959">
        <v>8</v>
      </c>
      <c r="T60" s="959">
        <v>22</v>
      </c>
      <c r="U60" s="960">
        <f>IF(Q60&gt;0,J60/Q60,0)</f>
        <v>3.125E-2</v>
      </c>
      <c r="V60" s="960">
        <f>IF(SUM(Q60:S60)&gt;0,J60/SUM(Q60:S60),0)</f>
        <v>1.8181818181818181E-2</v>
      </c>
      <c r="W60" s="961">
        <v>352.81666666669997</v>
      </c>
      <c r="X60" s="961">
        <f>W60/I60</f>
        <v>10.376960784314704</v>
      </c>
      <c r="Y60" s="961">
        <v>342.07</v>
      </c>
      <c r="Z60" s="961">
        <f>Y60/I60</f>
        <v>10.060882352941176</v>
      </c>
      <c r="AA60" s="961">
        <v>1339.91</v>
      </c>
      <c r="AB60" s="961">
        <f>AA60/I60</f>
        <v>39.409117647058828</v>
      </c>
      <c r="AC60" s="962">
        <f t="shared" si="1"/>
        <v>0.20337340515345007</v>
      </c>
      <c r="AD60" s="963">
        <f t="shared" si="2"/>
        <v>30</v>
      </c>
      <c r="AE60">
        <v>10</v>
      </c>
      <c r="AF60" s="959">
        <v>49</v>
      </c>
      <c r="AG60" s="959">
        <v>42</v>
      </c>
      <c r="AH60" s="959">
        <v>2</v>
      </c>
      <c r="AI60" s="959">
        <v>7</v>
      </c>
      <c r="AJ60" s="960">
        <f>IF(N60&gt;0,J60/BU60,0)</f>
        <v>0.1</v>
      </c>
      <c r="AK60" s="960">
        <f t="shared" si="3"/>
        <v>0.5</v>
      </c>
      <c r="AL60" s="960">
        <f t="shared" si="4"/>
        <v>0.6</v>
      </c>
      <c r="AM60" s="959">
        <v>98</v>
      </c>
      <c r="AN60" s="962">
        <f t="shared" si="5"/>
        <v>0.4152542372881356</v>
      </c>
      <c r="AO60" s="959">
        <v>68</v>
      </c>
      <c r="AP60" s="962">
        <f t="shared" si="6"/>
        <v>0.28813559322033899</v>
      </c>
      <c r="AQ60" s="959">
        <v>70</v>
      </c>
      <c r="AR60" s="962">
        <f t="shared" si="7"/>
        <v>0.29661016949152541</v>
      </c>
      <c r="AS60" s="962">
        <f t="shared" si="8"/>
        <v>0.59036144578313254</v>
      </c>
      <c r="AT60" s="959">
        <v>14</v>
      </c>
      <c r="AU60" s="964">
        <v>6.18</v>
      </c>
      <c r="AV60" s="965">
        <v>132</v>
      </c>
      <c r="AW60" s="965">
        <v>115</v>
      </c>
      <c r="AX60" s="965">
        <v>86</v>
      </c>
      <c r="AY60" s="962">
        <f t="shared" si="9"/>
        <v>0.53441295546558709</v>
      </c>
      <c r="AZ60" s="966">
        <v>16.61</v>
      </c>
      <c r="BA60" s="967">
        <v>13</v>
      </c>
      <c r="BB60" s="965">
        <v>-0.54600000000000004</v>
      </c>
      <c r="BC60" s="959">
        <v>13</v>
      </c>
      <c r="BD60" s="968">
        <v>-1.5329999999999999</v>
      </c>
      <c r="BE60" s="961">
        <v>49.33</v>
      </c>
      <c r="BF60" s="966">
        <v>17.010000000000002</v>
      </c>
      <c r="BG60" s="968">
        <v>-2.2160000000000002</v>
      </c>
      <c r="BH60" s="968">
        <v>8.0730000000000004</v>
      </c>
      <c r="BI60" s="961">
        <v>53.93</v>
      </c>
      <c r="BJ60" s="962">
        <f t="shared" si="10"/>
        <v>6.6666666666666666E-2</v>
      </c>
      <c r="BK60" s="969">
        <f t="shared" si="11"/>
        <v>0.93571428571428572</v>
      </c>
      <c r="BL60" s="967">
        <f t="shared" si="12"/>
        <v>1002.3809523809523</v>
      </c>
      <c r="BM60" s="962">
        <f t="shared" si="13"/>
        <v>2.3809523809523864E-3</v>
      </c>
      <c r="BN60" s="966">
        <f>BU60/(Z60*I60)*60</f>
        <v>1.7540269535475195</v>
      </c>
      <c r="BO60" s="966">
        <f>BV60/(Z60*I60)*60</f>
        <v>1.5786242581927676</v>
      </c>
      <c r="BP60" s="961">
        <f>(BU60+BW60)/(Z60*I60)*60</f>
        <v>26.310404303212792</v>
      </c>
      <c r="BQ60" s="961">
        <f>(BV60+BX60)/(Z60*I60)*60</f>
        <v>24.556377349665276</v>
      </c>
      <c r="BR60" s="961">
        <f>(BU60+BW60+BY60+CB60)/(Z60*I60)*60</f>
        <v>52.796211301780339</v>
      </c>
      <c r="BS60" s="961">
        <f>(BV60+BX60+BZ60+CA60)/(Z60*I60)*60</f>
        <v>47.358727745783028</v>
      </c>
      <c r="BT60" s="961">
        <f t="shared" si="14"/>
        <v>5.4374835559973107</v>
      </c>
      <c r="BU60" s="959">
        <v>10</v>
      </c>
      <c r="BV60" s="959">
        <v>9</v>
      </c>
      <c r="BW60" s="967">
        <v>140</v>
      </c>
      <c r="BX60" s="967">
        <v>131</v>
      </c>
      <c r="BY60" s="967">
        <v>67</v>
      </c>
      <c r="BZ60" s="967">
        <v>54</v>
      </c>
      <c r="CA60" s="967">
        <v>76</v>
      </c>
      <c r="CB60" s="967">
        <v>84</v>
      </c>
      <c r="CC60" s="959">
        <v>122</v>
      </c>
      <c r="CD60" s="959">
        <v>126</v>
      </c>
      <c r="CE60" s="962">
        <f t="shared" si="15"/>
        <v>0.49193548387096775</v>
      </c>
      <c r="CF60" s="964">
        <v>-5.99</v>
      </c>
      <c r="CG60" s="970">
        <f t="shared" si="16"/>
        <v>-6.4271911427978701</v>
      </c>
      <c r="CH60" s="966">
        <f>CO60/(AB60*I60)*60</f>
        <v>2.6419684904209984</v>
      </c>
      <c r="CI60" s="966">
        <f>CP60/(AB60*I60)*60</f>
        <v>2.059839839989253</v>
      </c>
      <c r="CJ60" s="966">
        <f>(CO60+CQ60)/(AB60*I60)*60</f>
        <v>32.061854900702279</v>
      </c>
      <c r="CK60" s="966">
        <f>(CP60+CR60)/(AB60*I60)*60</f>
        <v>26.777917919860286</v>
      </c>
      <c r="CL60" s="966">
        <f>(CO60+CQ60+CS60+CV60)/(AB60*I60)*60</f>
        <v>60.76527527968296</v>
      </c>
      <c r="CM60" s="966">
        <f>(CP60+CR60+CT60+CU60)/(AB60*I60)*60</f>
        <v>49.346597905829498</v>
      </c>
      <c r="CN60" s="961">
        <f t="shared" si="17"/>
        <v>-5.9811938178561519</v>
      </c>
      <c r="CO60" s="967">
        <v>59</v>
      </c>
      <c r="CP60" s="967">
        <v>46</v>
      </c>
      <c r="CQ60" s="967">
        <v>657</v>
      </c>
      <c r="CR60" s="967">
        <v>552</v>
      </c>
      <c r="CS60" s="967">
        <v>291</v>
      </c>
      <c r="CT60" s="967">
        <v>234</v>
      </c>
      <c r="CU60" s="967">
        <v>270</v>
      </c>
      <c r="CV60" s="967">
        <v>350</v>
      </c>
      <c r="CW60" s="959">
        <v>5</v>
      </c>
      <c r="CX60" s="959">
        <v>6</v>
      </c>
      <c r="CY60" s="967">
        <f t="shared" si="18"/>
        <v>1</v>
      </c>
      <c r="CZ60" s="966">
        <f>CW60/(X60*I60)*60</f>
        <v>0.85029996693269894</v>
      </c>
      <c r="DA60" s="966">
        <f>CX60/(X60*I60)*60</f>
        <v>1.0203599603192386</v>
      </c>
      <c r="DB60" s="966">
        <f>CY60/(X60*I60)*60</f>
        <v>0.17005999338653979</v>
      </c>
      <c r="DC60" s="9">
        <v>10</v>
      </c>
      <c r="DD60" s="9">
        <v>11</v>
      </c>
      <c r="DE60" s="971">
        <v>12.43</v>
      </c>
      <c r="DF60" s="971">
        <v>11.34</v>
      </c>
      <c r="DG60" s="971">
        <v>12.95</v>
      </c>
      <c r="DH60" s="971">
        <v>12.03</v>
      </c>
      <c r="DI60" s="9">
        <v>122</v>
      </c>
      <c r="DJ60" s="9">
        <v>100</v>
      </c>
      <c r="DK60" s="962">
        <f t="shared" si="19"/>
        <v>0.5495495495495496</v>
      </c>
      <c r="DL60" s="967">
        <v>91</v>
      </c>
      <c r="DM60" s="967">
        <v>44</v>
      </c>
      <c r="DN60" s="9">
        <v>12</v>
      </c>
      <c r="DO60" s="9">
        <v>0</v>
      </c>
      <c r="DP60" s="9">
        <v>0.13200000000000001</v>
      </c>
      <c r="DQ60" s="9">
        <v>0</v>
      </c>
      <c r="DR60" s="9">
        <v>0</v>
      </c>
      <c r="DS60" s="9">
        <v>0</v>
      </c>
      <c r="DT60" s="9">
        <v>63</v>
      </c>
      <c r="DU60" s="973">
        <v>36</v>
      </c>
      <c r="DV60" s="9">
        <v>1</v>
      </c>
      <c r="DW60" s="9">
        <v>10</v>
      </c>
      <c r="DX60" s="9">
        <v>-0.14300000000000002</v>
      </c>
      <c r="DY60" s="9">
        <v>0</v>
      </c>
      <c r="DZ60" s="9">
        <v>1</v>
      </c>
      <c r="EA60" s="9">
        <v>-1.6E-2</v>
      </c>
    </row>
    <row r="61" spans="1:131" ht="26.25" x14ac:dyDescent="0.25">
      <c r="A61" s="9" t="s">
        <v>381</v>
      </c>
      <c r="B61" s="9" t="s">
        <v>296</v>
      </c>
      <c r="C61" s="10" t="s">
        <v>382</v>
      </c>
      <c r="D61" s="959" t="s">
        <v>383</v>
      </c>
      <c r="E61" s="9" t="s">
        <v>137</v>
      </c>
      <c r="F61" s="9">
        <f>6/33</f>
        <v>0.18181818181818182</v>
      </c>
      <c r="G61" s="9" t="s">
        <v>458</v>
      </c>
      <c r="H61" s="9">
        <f>13/49</f>
        <v>0.26530612244897961</v>
      </c>
      <c r="I61" s="9">
        <v>33</v>
      </c>
      <c r="J61" s="9">
        <v>3</v>
      </c>
      <c r="K61" s="9">
        <v>2</v>
      </c>
      <c r="L61" s="957">
        <f>J61+K61</f>
        <v>5</v>
      </c>
      <c r="M61" s="958">
        <f t="shared" si="0"/>
        <v>0.72992700729927007</v>
      </c>
      <c r="N61" s="959">
        <v>2</v>
      </c>
      <c r="O61" s="959">
        <v>1</v>
      </c>
      <c r="P61" s="959">
        <v>1</v>
      </c>
      <c r="Q61" s="959">
        <v>31</v>
      </c>
      <c r="R61" s="959">
        <v>10</v>
      </c>
      <c r="S61" s="959">
        <v>16</v>
      </c>
      <c r="T61" s="959">
        <v>31</v>
      </c>
      <c r="U61" s="960">
        <f>IF(Q61&gt;0,J61/Q61,0)</f>
        <v>9.6774193548387094E-2</v>
      </c>
      <c r="V61" s="960">
        <f>IF(SUM(Q61:S61)&gt;0,J61/SUM(Q61:S61),0)</f>
        <v>5.2631578947368418E-2</v>
      </c>
      <c r="W61" s="961">
        <v>411</v>
      </c>
      <c r="X61" s="961">
        <f>W61/I61</f>
        <v>12.454545454545455</v>
      </c>
      <c r="Y61" s="961">
        <v>391.77</v>
      </c>
      <c r="Z61" s="961">
        <f>Y61/I61</f>
        <v>11.871818181818181</v>
      </c>
      <c r="AA61" s="961">
        <v>1215.76</v>
      </c>
      <c r="AB61" s="961">
        <f>AA61/I61</f>
        <v>36.841212121212124</v>
      </c>
      <c r="AC61" s="962">
        <f t="shared" si="1"/>
        <v>0.24370929313916376</v>
      </c>
      <c r="AD61" s="963">
        <f t="shared" si="2"/>
        <v>21.375</v>
      </c>
      <c r="AE61">
        <v>15</v>
      </c>
      <c r="AF61" s="959">
        <v>68</v>
      </c>
      <c r="AG61" s="959">
        <v>35</v>
      </c>
      <c r="AH61" s="959">
        <v>10</v>
      </c>
      <c r="AI61" s="959">
        <v>3</v>
      </c>
      <c r="AJ61" s="960">
        <f>IF(N61&gt;0,J61/BU61,0)</f>
        <v>0.375</v>
      </c>
      <c r="AK61" s="960">
        <f t="shared" si="3"/>
        <v>0.25</v>
      </c>
      <c r="AL61" s="960">
        <f t="shared" si="4"/>
        <v>0.625</v>
      </c>
      <c r="AM61" s="959">
        <v>76</v>
      </c>
      <c r="AN61" s="962">
        <f t="shared" si="5"/>
        <v>0.23030303030303031</v>
      </c>
      <c r="AO61" s="959">
        <v>135</v>
      </c>
      <c r="AP61" s="962">
        <f t="shared" si="6"/>
        <v>0.40909090909090912</v>
      </c>
      <c r="AQ61" s="959">
        <v>119</v>
      </c>
      <c r="AR61" s="962">
        <f t="shared" si="7"/>
        <v>0.3606060606060606</v>
      </c>
      <c r="AS61" s="962">
        <f t="shared" si="8"/>
        <v>0.36018957345971564</v>
      </c>
      <c r="AT61" s="959">
        <v>2</v>
      </c>
      <c r="AU61" s="964">
        <v>-14.04</v>
      </c>
      <c r="AV61" s="965">
        <v>136</v>
      </c>
      <c r="AW61" s="965">
        <v>161</v>
      </c>
      <c r="AX61" s="965">
        <v>118</v>
      </c>
      <c r="AY61" s="962">
        <f t="shared" si="9"/>
        <v>0.45791245791245794</v>
      </c>
      <c r="AZ61" s="966">
        <v>17.05</v>
      </c>
      <c r="BA61" s="967">
        <v>12</v>
      </c>
      <c r="BB61" s="965">
        <v>0.80300000000000005</v>
      </c>
      <c r="BC61" s="959">
        <v>1</v>
      </c>
      <c r="BD61" s="968">
        <v>0.82600000000000007</v>
      </c>
      <c r="BE61" s="961">
        <v>50.13</v>
      </c>
      <c r="BF61" s="966">
        <v>17.399999999999999</v>
      </c>
      <c r="BG61" s="968">
        <v>-1.0209999999999999</v>
      </c>
      <c r="BH61" s="968">
        <v>-4.7160000000000002</v>
      </c>
      <c r="BI61" s="961">
        <v>46.97</v>
      </c>
      <c r="BJ61" s="962">
        <f t="shared" si="10"/>
        <v>4.6783625730994149E-2</v>
      </c>
      <c r="BK61" s="969">
        <f t="shared" si="11"/>
        <v>0.92222222222222228</v>
      </c>
      <c r="BL61" s="967">
        <f t="shared" si="12"/>
        <v>969.0058479532164</v>
      </c>
      <c r="BM61" s="962">
        <f t="shared" si="13"/>
        <v>-3.0994152046783574E-2</v>
      </c>
      <c r="BN61" s="966">
        <f>BU61/(Z61*I61)*60</f>
        <v>1.2252086683513286</v>
      </c>
      <c r="BO61" s="966">
        <f>BV61/(Z61*I61)*60</f>
        <v>2.1441151696148255</v>
      </c>
      <c r="BP61" s="961">
        <f>(BU61+BW61)/(Z61*I61)*60</f>
        <v>26.188835286009649</v>
      </c>
      <c r="BQ61" s="961">
        <f>(BV61+BX61)/(Z61*I61)*60</f>
        <v>27.567195037904895</v>
      </c>
      <c r="BR61" s="961">
        <f>(BU61+BW61+BY61+CB61)/(Z61*I61)*60</f>
        <v>44.260663144191746</v>
      </c>
      <c r="BS61" s="961">
        <f>(BV61+BX61+BZ61+CA61)/(Z61*I61)*60</f>
        <v>55.900145493529372</v>
      </c>
      <c r="BT61" s="961">
        <f t="shared" si="14"/>
        <v>-11.639482349337626</v>
      </c>
      <c r="BU61" s="959">
        <v>8</v>
      </c>
      <c r="BV61" s="959">
        <v>14</v>
      </c>
      <c r="BW61" s="967">
        <v>163</v>
      </c>
      <c r="BX61" s="967">
        <v>166</v>
      </c>
      <c r="BY61" s="967">
        <v>49</v>
      </c>
      <c r="BZ61" s="967">
        <v>75</v>
      </c>
      <c r="CA61" s="967">
        <v>110</v>
      </c>
      <c r="CB61" s="967">
        <v>69</v>
      </c>
      <c r="CC61" s="959">
        <v>130</v>
      </c>
      <c r="CD61" s="959">
        <v>162</v>
      </c>
      <c r="CE61" s="962">
        <f t="shared" si="15"/>
        <v>0.4452054794520548</v>
      </c>
      <c r="CF61" s="964">
        <v>-2.91</v>
      </c>
      <c r="CG61" s="970">
        <f t="shared" si="16"/>
        <v>-2.8320321123708005</v>
      </c>
      <c r="CH61" s="966">
        <f>CO61/(AB61*I61)*60</f>
        <v>2.6649996709876951</v>
      </c>
      <c r="CI61" s="966">
        <f>CP61/(AB61*I61)*60</f>
        <v>1.8753701388431929</v>
      </c>
      <c r="CJ61" s="966">
        <f>(CO61+CQ61)/(AB61*I61)*60</f>
        <v>30.252681450286239</v>
      </c>
      <c r="CK61" s="966">
        <f>(CP61+CR61)/(AB61*I61)*60</f>
        <v>29.857866684213988</v>
      </c>
      <c r="CL61" s="966">
        <f>(CO61+CQ61+CS61+CV61)/(AB61*I61)*60</f>
        <v>58.629992761729291</v>
      </c>
      <c r="CM61" s="966">
        <f>(CP61+CR61+CT61+CU61)/(AB61*I61)*60</f>
        <v>58.728696453247352</v>
      </c>
      <c r="CN61" s="961">
        <f t="shared" si="17"/>
        <v>-11.540778657819565</v>
      </c>
      <c r="CO61" s="967">
        <v>54</v>
      </c>
      <c r="CP61" s="967">
        <v>38</v>
      </c>
      <c r="CQ61" s="967">
        <v>559</v>
      </c>
      <c r="CR61" s="967">
        <v>567</v>
      </c>
      <c r="CS61" s="967">
        <v>233</v>
      </c>
      <c r="CT61" s="967">
        <v>225</v>
      </c>
      <c r="CU61" s="967">
        <v>360</v>
      </c>
      <c r="CV61" s="967">
        <v>342</v>
      </c>
      <c r="CW61" s="959">
        <v>4</v>
      </c>
      <c r="CX61" s="959">
        <v>1</v>
      </c>
      <c r="CY61" s="967">
        <f t="shared" si="18"/>
        <v>-3</v>
      </c>
      <c r="CZ61" s="966">
        <f>CW61/(X61*I61)*60</f>
        <v>0.58394160583941612</v>
      </c>
      <c r="DA61" s="966">
        <f>CX61/(X61*I61)*60</f>
        <v>0.14598540145985403</v>
      </c>
      <c r="DB61" s="966">
        <f>CY61/(X61*I61)*60</f>
        <v>-0.43795620437956201</v>
      </c>
      <c r="DC61" s="9">
        <v>11</v>
      </c>
      <c r="DD61" s="9">
        <v>14</v>
      </c>
      <c r="DE61" s="971">
        <v>12.94</v>
      </c>
      <c r="DF61" s="971">
        <v>11.82</v>
      </c>
      <c r="DG61" s="971">
        <v>13.07</v>
      </c>
      <c r="DH61" s="971">
        <v>15.52</v>
      </c>
      <c r="DI61" s="9">
        <v>55</v>
      </c>
      <c r="DJ61" s="9">
        <v>85</v>
      </c>
      <c r="DK61" s="962">
        <f t="shared" si="19"/>
        <v>0.39285714285714285</v>
      </c>
      <c r="DL61" s="967">
        <v>37</v>
      </c>
      <c r="DM61" s="967">
        <v>10</v>
      </c>
      <c r="DN61" s="9">
        <v>4</v>
      </c>
      <c r="DO61" s="9">
        <v>1</v>
      </c>
      <c r="DP61" s="9">
        <v>8.1000000000000003E-2</v>
      </c>
      <c r="DQ61" s="9">
        <v>0</v>
      </c>
      <c r="DR61" s="9">
        <v>0</v>
      </c>
      <c r="DS61" s="9">
        <v>0</v>
      </c>
      <c r="DT61" s="9">
        <v>43</v>
      </c>
      <c r="DU61" s="973">
        <v>21</v>
      </c>
      <c r="DV61" s="9">
        <v>0</v>
      </c>
      <c r="DW61" s="9">
        <v>10</v>
      </c>
      <c r="DX61" s="9">
        <v>-0.23300000000000001</v>
      </c>
      <c r="DY61" s="9">
        <v>0</v>
      </c>
      <c r="DZ61" s="9">
        <v>0</v>
      </c>
      <c r="EA61" s="9">
        <v>0</v>
      </c>
    </row>
    <row r="62" spans="1:131" ht="26.25" x14ac:dyDescent="0.25">
      <c r="A62" s="9" t="s">
        <v>384</v>
      </c>
      <c r="B62" s="9" t="s">
        <v>308</v>
      </c>
      <c r="C62" s="10" t="s">
        <v>385</v>
      </c>
      <c r="D62" s="959" t="s">
        <v>173</v>
      </c>
      <c r="E62" s="9" t="s">
        <v>160</v>
      </c>
      <c r="F62" s="9">
        <f>6/38</f>
        <v>0.15789473684210525</v>
      </c>
      <c r="G62" s="9" t="s">
        <v>456</v>
      </c>
      <c r="H62" s="9">
        <f>25/70</f>
        <v>0.35714285714285715</v>
      </c>
      <c r="I62" s="9">
        <v>38</v>
      </c>
      <c r="J62" s="9">
        <v>0</v>
      </c>
      <c r="K62" s="9">
        <v>4</v>
      </c>
      <c r="L62" s="957">
        <f>J62+K62</f>
        <v>4</v>
      </c>
      <c r="M62" s="958">
        <f t="shared" si="0"/>
        <v>0.42556964269882075</v>
      </c>
      <c r="N62" s="959">
        <v>0</v>
      </c>
      <c r="O62" s="959">
        <v>0</v>
      </c>
      <c r="P62" s="959">
        <v>3</v>
      </c>
      <c r="Q62" s="959">
        <v>34</v>
      </c>
      <c r="R62" s="959">
        <v>6</v>
      </c>
      <c r="S62" s="959">
        <v>30</v>
      </c>
      <c r="T62" s="959">
        <v>19</v>
      </c>
      <c r="U62" s="960">
        <f>IF(Q62&gt;0,J62/Q62,0)</f>
        <v>0</v>
      </c>
      <c r="V62" s="960">
        <f>IF(SUM(Q62:S62)&gt;0,J62/SUM(Q62:S62),0)</f>
        <v>0</v>
      </c>
      <c r="W62" s="961">
        <v>563.95000000000005</v>
      </c>
      <c r="X62" s="961">
        <f>W62/I62</f>
        <v>14.840789473684211</v>
      </c>
      <c r="Y62" s="961">
        <v>543.41999999999996</v>
      </c>
      <c r="Z62" s="961">
        <f>Y62/I62</f>
        <v>14.300526315789472</v>
      </c>
      <c r="AA62" s="961">
        <v>1333.47</v>
      </c>
      <c r="AB62" s="961">
        <f>AA62/I62</f>
        <v>35.091315789473683</v>
      </c>
      <c r="AC62" s="962">
        <f t="shared" si="1"/>
        <v>0.28953215159119611</v>
      </c>
      <c r="AD62" s="963">
        <f t="shared" si="2"/>
        <v>0</v>
      </c>
      <c r="AE62">
        <v>59</v>
      </c>
      <c r="AF62" s="959">
        <v>35</v>
      </c>
      <c r="AG62" s="959">
        <v>79</v>
      </c>
      <c r="AH62" s="959">
        <v>18</v>
      </c>
      <c r="AI62" s="959">
        <v>7</v>
      </c>
      <c r="AJ62" s="960">
        <f>IF(N62&gt;0,J62/BU62,0)</f>
        <v>0</v>
      </c>
      <c r="AK62" s="960">
        <f t="shared" si="3"/>
        <v>0.2</v>
      </c>
      <c r="AL62" s="960">
        <f t="shared" si="4"/>
        <v>0.2</v>
      </c>
      <c r="AM62" s="959">
        <v>188</v>
      </c>
      <c r="AN62" s="962">
        <f t="shared" si="5"/>
        <v>0.38524590163934425</v>
      </c>
      <c r="AO62" s="959">
        <v>127</v>
      </c>
      <c r="AP62" s="962">
        <f t="shared" si="6"/>
        <v>0.26024590163934425</v>
      </c>
      <c r="AQ62" s="959">
        <v>173</v>
      </c>
      <c r="AR62" s="962">
        <f t="shared" si="7"/>
        <v>0.35450819672131145</v>
      </c>
      <c r="AS62" s="962">
        <f t="shared" si="8"/>
        <v>0.59682539682539681</v>
      </c>
      <c r="AT62" s="959">
        <v>5</v>
      </c>
      <c r="AU62" s="964">
        <v>9.5</v>
      </c>
      <c r="AV62" s="965">
        <v>225</v>
      </c>
      <c r="AW62" s="965">
        <v>196</v>
      </c>
      <c r="AX62" s="965">
        <v>149</v>
      </c>
      <c r="AY62" s="962">
        <f t="shared" si="9"/>
        <v>0.53444180522565321</v>
      </c>
      <c r="AZ62" s="966">
        <v>17.04</v>
      </c>
      <c r="BA62" s="967">
        <v>5</v>
      </c>
      <c r="BB62" s="965">
        <v>-0.33200000000000002</v>
      </c>
      <c r="BC62" s="959">
        <v>4</v>
      </c>
      <c r="BD62" s="968">
        <v>9.4E-2</v>
      </c>
      <c r="BE62" s="961">
        <v>49.77</v>
      </c>
      <c r="BF62" s="966">
        <v>16.100000000000001</v>
      </c>
      <c r="BG62" s="968">
        <v>-0.41200000000000003</v>
      </c>
      <c r="BH62" s="968">
        <v>5.07</v>
      </c>
      <c r="BI62" s="961">
        <v>50.88</v>
      </c>
      <c r="BJ62" s="962">
        <f t="shared" si="10"/>
        <v>5.6390977443609019E-2</v>
      </c>
      <c r="BK62" s="969">
        <f t="shared" si="11"/>
        <v>0.9</v>
      </c>
      <c r="BL62" s="967">
        <f t="shared" si="12"/>
        <v>956.39097744360902</v>
      </c>
      <c r="BM62" s="962">
        <f t="shared" si="13"/>
        <v>-4.3609022556390958E-2</v>
      </c>
      <c r="BN62" s="966">
        <f>BU62/(Z62*I62)*60</f>
        <v>1.6561775422325276</v>
      </c>
      <c r="BO62" s="966">
        <f>BV62/(Z62*I62)*60</f>
        <v>2.5394722314232085</v>
      </c>
      <c r="BP62" s="961">
        <f>(BU62+BW62)/(Z62*I62)*60</f>
        <v>29.369548415590153</v>
      </c>
      <c r="BQ62" s="961">
        <f>(BV62+BX62)/(Z62*I62)*60</f>
        <v>25.394722314232087</v>
      </c>
      <c r="BR62" s="961">
        <f>(BU62+BW62+BY62+CB62)/(Z62*I62)*60</f>
        <v>54.764270729822243</v>
      </c>
      <c r="BS62" s="961">
        <f>(BV62+BX62+BZ62+CA62)/(Z62*I62)*60</f>
        <v>51.341503809208355</v>
      </c>
      <c r="BT62" s="961">
        <f t="shared" si="14"/>
        <v>3.4227669206138884</v>
      </c>
      <c r="BU62" s="959">
        <v>15</v>
      </c>
      <c r="BV62" s="959">
        <v>23</v>
      </c>
      <c r="BW62" s="967">
        <v>251</v>
      </c>
      <c r="BX62" s="967">
        <v>207</v>
      </c>
      <c r="BY62" s="967">
        <v>88</v>
      </c>
      <c r="BZ62" s="967">
        <v>99</v>
      </c>
      <c r="CA62" s="967">
        <v>136</v>
      </c>
      <c r="CB62" s="967">
        <v>142</v>
      </c>
      <c r="CC62" s="959">
        <v>220</v>
      </c>
      <c r="CD62" s="959">
        <v>220</v>
      </c>
      <c r="CE62" s="962">
        <f t="shared" si="15"/>
        <v>0.5</v>
      </c>
      <c r="CF62" s="964">
        <v>-2.31</v>
      </c>
      <c r="CG62" s="970">
        <f t="shared" si="16"/>
        <v>-3.9670426031956341</v>
      </c>
      <c r="CH62" s="966">
        <f>CO62/(AB62*I62)*60</f>
        <v>1.9348016828275103</v>
      </c>
      <c r="CI62" s="966">
        <f>CP62/(AB62*I62)*60</f>
        <v>2.6997232783639675</v>
      </c>
      <c r="CJ62" s="966">
        <f>(CO62+CQ62)/(AB62*I62)*60</f>
        <v>32.621656280231278</v>
      </c>
      <c r="CK62" s="966">
        <f>(CP62+CR62)/(AB62*I62)*60</f>
        <v>27.627168215257935</v>
      </c>
      <c r="CL62" s="966">
        <f>(CO62+CQ62+CS62+CV62)/(AB62*I62)*60</f>
        <v>62.588584670071313</v>
      </c>
      <c r="CM62" s="966">
        <f>(CP62+CR62+CT62+CU62)/(AB62*I62)*60</f>
        <v>53.544511687552031</v>
      </c>
      <c r="CN62" s="961">
        <f t="shared" si="17"/>
        <v>-5.6213060619053934</v>
      </c>
      <c r="CO62" s="967">
        <v>43</v>
      </c>
      <c r="CP62" s="967">
        <v>60</v>
      </c>
      <c r="CQ62" s="967">
        <v>682</v>
      </c>
      <c r="CR62" s="967">
        <v>554</v>
      </c>
      <c r="CS62" s="967">
        <v>291</v>
      </c>
      <c r="CT62" s="967">
        <v>279</v>
      </c>
      <c r="CU62" s="967">
        <v>297</v>
      </c>
      <c r="CV62" s="967">
        <v>375</v>
      </c>
      <c r="CW62" s="959">
        <v>2</v>
      </c>
      <c r="CX62" s="959">
        <v>9</v>
      </c>
      <c r="CY62" s="967">
        <f t="shared" si="18"/>
        <v>7</v>
      </c>
      <c r="CZ62" s="966">
        <f>CW62/(X62*I62)*60</f>
        <v>0.21278482134941037</v>
      </c>
      <c r="DA62" s="966">
        <f>CX62/(X62*I62)*60</f>
        <v>0.95753169607234689</v>
      </c>
      <c r="DB62" s="966">
        <f>CY62/(X62*I62)*60</f>
        <v>0.74474687472293644</v>
      </c>
      <c r="DC62" s="9">
        <v>18</v>
      </c>
      <c r="DD62" s="9">
        <v>19</v>
      </c>
      <c r="DE62" s="971">
        <v>17.43</v>
      </c>
      <c r="DF62" s="971">
        <v>22.45</v>
      </c>
      <c r="DG62" s="971">
        <v>21.18</v>
      </c>
      <c r="DH62" s="971">
        <v>20.260000000000002</v>
      </c>
      <c r="DI62" s="959"/>
      <c r="DJ62" s="959"/>
      <c r="DK62" s="962" t="str">
        <f t="shared" si="19"/>
        <v xml:space="preserve"> </v>
      </c>
      <c r="DL62" s="967"/>
      <c r="DM62" s="967"/>
      <c r="DN62" s="959"/>
      <c r="DO62" s="959"/>
      <c r="DP62" s="959"/>
      <c r="DQ62" s="959"/>
      <c r="DR62" s="959"/>
      <c r="DS62" s="959"/>
      <c r="DT62" s="959"/>
      <c r="DU62" s="967"/>
      <c r="DV62" s="959"/>
      <c r="DW62" s="959"/>
      <c r="DX62" s="959"/>
      <c r="DY62" s="959"/>
      <c r="DZ62" s="959"/>
      <c r="EA62" s="9"/>
    </row>
    <row r="63" spans="1:131" ht="26.25" x14ac:dyDescent="0.25">
      <c r="A63" s="9" t="s">
        <v>338</v>
      </c>
      <c r="B63" s="9" t="s">
        <v>311</v>
      </c>
      <c r="C63" s="10" t="s">
        <v>386</v>
      </c>
      <c r="D63" s="959" t="s">
        <v>387</v>
      </c>
      <c r="E63" s="9" t="s">
        <v>360</v>
      </c>
      <c r="F63" s="9">
        <f>6/31</f>
        <v>0.19354838709677419</v>
      </c>
      <c r="G63" s="9" t="s">
        <v>459</v>
      </c>
      <c r="H63" s="9">
        <f>87/54</f>
        <v>1.6111111111111112</v>
      </c>
      <c r="I63" s="9">
        <v>31</v>
      </c>
      <c r="J63" s="9">
        <v>2</v>
      </c>
      <c r="K63" s="9">
        <v>3</v>
      </c>
      <c r="L63" s="957">
        <f>J63+K63</f>
        <v>5</v>
      </c>
      <c r="M63" s="958">
        <f t="shared" si="0"/>
        <v>0.84813645573190899</v>
      </c>
      <c r="N63" s="959">
        <v>0</v>
      </c>
      <c r="O63" s="959">
        <v>1</v>
      </c>
      <c r="P63" s="959">
        <v>1</v>
      </c>
      <c r="Q63" s="959">
        <v>42</v>
      </c>
      <c r="R63" s="959">
        <v>14</v>
      </c>
      <c r="S63" s="959">
        <v>21</v>
      </c>
      <c r="T63" s="959">
        <v>45</v>
      </c>
      <c r="U63" s="960">
        <f>IF(Q63&gt;0,J63/Q63,0)</f>
        <v>4.7619047619047616E-2</v>
      </c>
      <c r="V63" s="960">
        <f>IF(SUM(Q63:S63)&gt;0,J63/SUM(Q63:S63),0)</f>
        <v>2.5974025974025976E-2</v>
      </c>
      <c r="W63" s="961">
        <v>353.71666666670001</v>
      </c>
      <c r="X63" s="961">
        <f>W63/I63</f>
        <v>11.410215053764516</v>
      </c>
      <c r="Y63" s="961">
        <v>348.12</v>
      </c>
      <c r="Z63" s="961">
        <f>Y63/I63</f>
        <v>11.229677419354839</v>
      </c>
      <c r="AA63" s="961">
        <v>1132.1199999999999</v>
      </c>
      <c r="AB63" s="961">
        <f>AA63/I63</f>
        <v>36.519999999999996</v>
      </c>
      <c r="AC63" s="962">
        <f t="shared" si="1"/>
        <v>0.23517807923039508</v>
      </c>
      <c r="AD63" s="963">
        <f t="shared" si="2"/>
        <v>17.375</v>
      </c>
      <c r="AE63">
        <v>9</v>
      </c>
      <c r="AF63" s="959">
        <v>58</v>
      </c>
      <c r="AG63" s="959">
        <v>29</v>
      </c>
      <c r="AH63" s="959">
        <v>11</v>
      </c>
      <c r="AI63" s="959">
        <v>8</v>
      </c>
      <c r="AJ63" s="960">
        <f>IF(N63&gt;0,J63/BU63,0)</f>
        <v>0</v>
      </c>
      <c r="AK63" s="960">
        <f t="shared" si="3"/>
        <v>0.25</v>
      </c>
      <c r="AL63" s="960">
        <f t="shared" si="4"/>
        <v>0.25</v>
      </c>
      <c r="AM63" s="959">
        <v>94</v>
      </c>
      <c r="AN63" s="962">
        <f t="shared" si="5"/>
        <v>0.29936305732484075</v>
      </c>
      <c r="AO63" s="959">
        <v>91</v>
      </c>
      <c r="AP63" s="962">
        <f t="shared" si="6"/>
        <v>0.28980891719745222</v>
      </c>
      <c r="AQ63" s="959">
        <v>129</v>
      </c>
      <c r="AR63" s="962">
        <f t="shared" si="7"/>
        <v>0.41082802547770703</v>
      </c>
      <c r="AS63" s="962">
        <f t="shared" si="8"/>
        <v>0.50810810810810814</v>
      </c>
      <c r="AT63" s="959">
        <v>7</v>
      </c>
      <c r="AU63" s="964">
        <v>-1.54</v>
      </c>
      <c r="AV63" s="965">
        <v>127</v>
      </c>
      <c r="AW63" s="965">
        <v>136</v>
      </c>
      <c r="AX63" s="965">
        <v>127</v>
      </c>
      <c r="AY63" s="962">
        <f t="shared" si="9"/>
        <v>0.4828897338403042</v>
      </c>
      <c r="AZ63" s="966">
        <v>17</v>
      </c>
      <c r="BA63" s="967">
        <v>9</v>
      </c>
      <c r="BB63" s="965">
        <v>0.112</v>
      </c>
      <c r="BC63" s="959">
        <v>8</v>
      </c>
      <c r="BD63" s="968">
        <v>1.105</v>
      </c>
      <c r="BE63" s="961">
        <v>50.55</v>
      </c>
      <c r="BF63" s="966">
        <v>17.68</v>
      </c>
      <c r="BG63" s="968">
        <v>0.51300000000000001</v>
      </c>
      <c r="BH63" s="968">
        <v>0.16500000000000001</v>
      </c>
      <c r="BI63" s="961">
        <v>48.23</v>
      </c>
      <c r="BJ63" s="962">
        <f t="shared" si="10"/>
        <v>5.7553956834532377E-2</v>
      </c>
      <c r="BK63" s="969">
        <f t="shared" si="11"/>
        <v>0.93220338983050843</v>
      </c>
      <c r="BL63" s="967">
        <f t="shared" si="12"/>
        <v>989.75734666504081</v>
      </c>
      <c r="BM63" s="962">
        <f t="shared" si="13"/>
        <v>-1.024265333495919E-2</v>
      </c>
      <c r="BN63" s="966">
        <f>BU63/(Z63*I63)*60</f>
        <v>1.3788348845225784</v>
      </c>
      <c r="BO63" s="966">
        <f>BV63/(Z63*I63)*60</f>
        <v>2.0682523267838677</v>
      </c>
      <c r="BP63" s="961">
        <f>(BU63+BW63)/(Z63*I63)*60</f>
        <v>23.957256118579799</v>
      </c>
      <c r="BQ63" s="961">
        <f>(BV63+BX63)/(Z63*I63)*60</f>
        <v>30.506721820062047</v>
      </c>
      <c r="BR63" s="961">
        <f>(BU63+BW63+BY63+CB63)/(Z63*I63)*60</f>
        <v>45.846259910375736</v>
      </c>
      <c r="BS63" s="961">
        <f>(BV63+BX63+BZ63+CA63)/(Z63*I63)*60</f>
        <v>56.015167183729744</v>
      </c>
      <c r="BT63" s="961">
        <f t="shared" si="14"/>
        <v>-10.168907273354009</v>
      </c>
      <c r="BU63" s="959">
        <v>8</v>
      </c>
      <c r="BV63" s="959">
        <v>12</v>
      </c>
      <c r="BW63" s="967">
        <v>131</v>
      </c>
      <c r="BX63" s="967">
        <v>165</v>
      </c>
      <c r="BY63" s="967">
        <v>51</v>
      </c>
      <c r="BZ63" s="967">
        <v>67</v>
      </c>
      <c r="CA63" s="967">
        <v>81</v>
      </c>
      <c r="CB63" s="967">
        <v>76</v>
      </c>
      <c r="CC63" s="959">
        <v>134</v>
      </c>
      <c r="CD63" s="959">
        <v>141</v>
      </c>
      <c r="CE63" s="962">
        <f t="shared" si="15"/>
        <v>0.48727272727272725</v>
      </c>
      <c r="CF63" s="964">
        <v>-0.41</v>
      </c>
      <c r="CG63" s="970">
        <f t="shared" si="16"/>
        <v>-9.5135018679486016</v>
      </c>
      <c r="CH63" s="966">
        <f>CO63/(AB63*I63)*60</f>
        <v>2.1199166166130801</v>
      </c>
      <c r="CI63" s="966">
        <f>CP63/(AB63*I63)*60</f>
        <v>1.9079249549517721</v>
      </c>
      <c r="CJ63" s="966">
        <f>(CO63+CQ63)/(AB63*I63)*60</f>
        <v>27.293926438893404</v>
      </c>
      <c r="CK63" s="966">
        <f>(CP63+CR63)/(AB63*I63)*60</f>
        <v>27.293926438893404</v>
      </c>
      <c r="CL63" s="966">
        <f>(CO63+CQ63+CS63+CV63)/(AB63*I63)*60</f>
        <v>53.315902907818959</v>
      </c>
      <c r="CM63" s="966">
        <f>(CP63+CR63+CT63+CU63)/(AB63*I63)*60</f>
        <v>54.852842454863442</v>
      </c>
      <c r="CN63" s="961">
        <f t="shared" si="17"/>
        <v>-8.6319677263095258</v>
      </c>
      <c r="CO63" s="967">
        <v>40</v>
      </c>
      <c r="CP63" s="967">
        <v>36</v>
      </c>
      <c r="CQ63" s="967">
        <v>475</v>
      </c>
      <c r="CR63" s="967">
        <v>479</v>
      </c>
      <c r="CS63" s="967">
        <v>227</v>
      </c>
      <c r="CT63" s="967">
        <v>233</v>
      </c>
      <c r="CU63" s="967">
        <v>287</v>
      </c>
      <c r="CV63" s="967">
        <v>264</v>
      </c>
      <c r="CW63" s="959">
        <v>6</v>
      </c>
      <c r="CX63" s="959">
        <v>4</v>
      </c>
      <c r="CY63" s="967">
        <f t="shared" si="18"/>
        <v>-2</v>
      </c>
      <c r="CZ63" s="966">
        <f>CW63/(X63*I63)*60</f>
        <v>1.0177637468782907</v>
      </c>
      <c r="DA63" s="966">
        <f>CX63/(X63*I63)*60</f>
        <v>0.67850916458552712</v>
      </c>
      <c r="DB63" s="966">
        <f>CY63/(X63*I63)*60</f>
        <v>-0.33925458229276356</v>
      </c>
      <c r="DC63" s="9">
        <v>11</v>
      </c>
      <c r="DD63" s="9">
        <v>12</v>
      </c>
      <c r="DE63" s="971">
        <v>12.24</v>
      </c>
      <c r="DF63" s="971">
        <v>12.07</v>
      </c>
      <c r="DG63" s="971">
        <v>12.18</v>
      </c>
      <c r="DH63" s="971">
        <v>12.35</v>
      </c>
      <c r="DI63" s="9">
        <v>130</v>
      </c>
      <c r="DJ63" s="9">
        <v>137</v>
      </c>
      <c r="DK63" s="962">
        <f t="shared" si="19"/>
        <v>0.48689138576779029</v>
      </c>
      <c r="DL63" s="967">
        <v>74</v>
      </c>
      <c r="DM63" s="967">
        <v>31</v>
      </c>
      <c r="DN63" s="9">
        <v>5</v>
      </c>
      <c r="DO63" s="9">
        <v>0</v>
      </c>
      <c r="DP63" s="9">
        <v>6.8000000000000005E-2</v>
      </c>
      <c r="DQ63" s="9">
        <v>0</v>
      </c>
      <c r="DR63" s="9">
        <v>0</v>
      </c>
      <c r="DS63" s="9">
        <v>0</v>
      </c>
      <c r="DT63" s="9">
        <v>66</v>
      </c>
      <c r="DU63" s="973">
        <v>32</v>
      </c>
      <c r="DV63" s="9">
        <v>1</v>
      </c>
      <c r="DW63" s="9">
        <v>12</v>
      </c>
      <c r="DX63" s="9">
        <v>-0.16700000000000001</v>
      </c>
      <c r="DY63" s="9">
        <v>0</v>
      </c>
      <c r="DZ63" s="9">
        <v>1</v>
      </c>
      <c r="EA63" s="9">
        <v>-1.4999999999999999E-2</v>
      </c>
    </row>
    <row r="64" spans="1:131" ht="26.25" x14ac:dyDescent="0.25">
      <c r="A64" s="9" t="s">
        <v>388</v>
      </c>
      <c r="B64" s="9" t="s">
        <v>319</v>
      </c>
      <c r="C64" s="10" t="s">
        <v>389</v>
      </c>
      <c r="D64" s="959" t="s">
        <v>236</v>
      </c>
      <c r="E64" s="9" t="s">
        <v>155</v>
      </c>
      <c r="F64" s="9">
        <f>6/9</f>
        <v>0.66666666666666663</v>
      </c>
      <c r="G64" s="9" t="s">
        <v>456</v>
      </c>
      <c r="H64" s="9">
        <f>60/63</f>
        <v>0.95238095238095233</v>
      </c>
      <c r="I64" s="9">
        <v>9</v>
      </c>
      <c r="J64" s="9">
        <v>1</v>
      </c>
      <c r="K64" s="9">
        <v>5</v>
      </c>
      <c r="L64" s="957">
        <f>J64+K64</f>
        <v>6</v>
      </c>
      <c r="M64" s="958">
        <f t="shared" si="0"/>
        <v>2.9122286638794899</v>
      </c>
      <c r="N64" s="959">
        <v>0</v>
      </c>
      <c r="O64" s="959">
        <v>1</v>
      </c>
      <c r="P64" s="959">
        <v>2</v>
      </c>
      <c r="Q64" s="959">
        <v>13</v>
      </c>
      <c r="R64" s="959">
        <v>6</v>
      </c>
      <c r="S64" s="959">
        <v>2</v>
      </c>
      <c r="T64" s="959">
        <v>18</v>
      </c>
      <c r="U64" s="960">
        <f>IF(Q64&gt;0,J64/Q64,0)</f>
        <v>7.6923076923076927E-2</v>
      </c>
      <c r="V64" s="960">
        <f>IF(SUM(Q64:S64)&gt;0,J64/SUM(Q64:S64),0)</f>
        <v>4.7619047619047616E-2</v>
      </c>
      <c r="W64" s="961">
        <v>123.6166666667</v>
      </c>
      <c r="X64" s="961">
        <f>W64/I64</f>
        <v>13.73518518518889</v>
      </c>
      <c r="Y64" s="961">
        <v>124.88</v>
      </c>
      <c r="Z64" s="961">
        <f>Y64/I64</f>
        <v>13.875555555555556</v>
      </c>
      <c r="AA64" s="961">
        <v>338.73</v>
      </c>
      <c r="AB64" s="961">
        <f>AA64/I64</f>
        <v>37.63666666666667</v>
      </c>
      <c r="AC64" s="962">
        <f t="shared" si="1"/>
        <v>0.26936433640344254</v>
      </c>
      <c r="AD64" s="963">
        <f t="shared" si="2"/>
        <v>22.333333333333336</v>
      </c>
      <c r="AE64">
        <v>6</v>
      </c>
      <c r="AF64" s="959">
        <v>7</v>
      </c>
      <c r="AG64" s="959">
        <v>9</v>
      </c>
      <c r="AH64" s="959">
        <v>6</v>
      </c>
      <c r="AI64" s="959">
        <v>3</v>
      </c>
      <c r="AJ64" s="960">
        <f>IF(N64&gt;0,J64/BU64,0)</f>
        <v>0</v>
      </c>
      <c r="AK64" s="960">
        <f t="shared" si="3"/>
        <v>1</v>
      </c>
      <c r="AL64" s="960">
        <f t="shared" si="4"/>
        <v>1</v>
      </c>
      <c r="AM64" s="959">
        <v>28</v>
      </c>
      <c r="AN64" s="962">
        <f t="shared" si="5"/>
        <v>0.23728813559322035</v>
      </c>
      <c r="AO64" s="959">
        <v>38</v>
      </c>
      <c r="AP64" s="962">
        <f t="shared" si="6"/>
        <v>0.32203389830508472</v>
      </c>
      <c r="AQ64" s="959">
        <v>52</v>
      </c>
      <c r="AR64" s="962">
        <f t="shared" si="7"/>
        <v>0.44067796610169491</v>
      </c>
      <c r="AS64" s="962">
        <f t="shared" si="8"/>
        <v>0.42424242424242425</v>
      </c>
      <c r="AT64" s="959">
        <v>4</v>
      </c>
      <c r="AU64" s="964">
        <v>-14.59</v>
      </c>
      <c r="AV64" s="965">
        <v>39</v>
      </c>
      <c r="AW64" s="965">
        <v>46</v>
      </c>
      <c r="AX64" s="965">
        <v>38</v>
      </c>
      <c r="AY64" s="962">
        <f t="shared" si="9"/>
        <v>0.45882352941176469</v>
      </c>
      <c r="AZ64" s="966">
        <v>17.03</v>
      </c>
      <c r="BA64" s="967">
        <v>12</v>
      </c>
      <c r="BB64" s="965">
        <v>-0.70100000000000007</v>
      </c>
      <c r="BC64" s="959">
        <v>14</v>
      </c>
      <c r="BD64" s="968">
        <v>-3.73</v>
      </c>
      <c r="BE64" s="961">
        <v>48.66</v>
      </c>
      <c r="BF64" s="966">
        <v>17.739999999999998</v>
      </c>
      <c r="BG64" s="968">
        <v>2.339</v>
      </c>
      <c r="BH64" s="968">
        <v>-3</v>
      </c>
      <c r="BI64" s="961">
        <v>48.05</v>
      </c>
      <c r="BJ64" s="962">
        <f t="shared" si="10"/>
        <v>4.4776119402985072E-2</v>
      </c>
      <c r="BK64" s="969">
        <f t="shared" si="11"/>
        <v>0.87692307692307692</v>
      </c>
      <c r="BL64" s="967">
        <f t="shared" si="12"/>
        <v>921.69919632606195</v>
      </c>
      <c r="BM64" s="962">
        <f t="shared" si="13"/>
        <v>-7.8300803673938019E-2</v>
      </c>
      <c r="BN64" s="966">
        <f>BU64/(Z64*I64)*60</f>
        <v>1.4413837283792441</v>
      </c>
      <c r="BO64" s="966">
        <f>BV64/(Z64*I64)*60</f>
        <v>3.8436899423446507</v>
      </c>
      <c r="BP64" s="961">
        <f>(BU64+BW64)/(Z64*I64)*60</f>
        <v>32.190903267136456</v>
      </c>
      <c r="BQ64" s="961">
        <f>(BV64+BX64)/(Z64*I64)*60</f>
        <v>31.229980781550285</v>
      </c>
      <c r="BR64" s="961">
        <f>(BU64+BW64+BY64+CB64)/(Z64*I64)*60</f>
        <v>54.772581678411271</v>
      </c>
      <c r="BS64" s="961">
        <f>(BV64+BX64+BZ64+CA64)/(Z64*I64)*60</f>
        <v>63.901345291479828</v>
      </c>
      <c r="BT64" s="961">
        <f t="shared" si="14"/>
        <v>-9.128763613068557</v>
      </c>
      <c r="BU64" s="959">
        <v>3</v>
      </c>
      <c r="BV64" s="959">
        <v>8</v>
      </c>
      <c r="BW64" s="967">
        <v>64</v>
      </c>
      <c r="BX64" s="967">
        <v>57</v>
      </c>
      <c r="BY64" s="967">
        <v>30</v>
      </c>
      <c r="BZ64" s="967">
        <v>36</v>
      </c>
      <c r="CA64" s="967">
        <v>32</v>
      </c>
      <c r="CB64" s="967">
        <v>17</v>
      </c>
      <c r="CC64" s="959">
        <v>68</v>
      </c>
      <c r="CD64" s="959">
        <v>73</v>
      </c>
      <c r="CE64" s="962">
        <f t="shared" si="15"/>
        <v>0.48226950354609927</v>
      </c>
      <c r="CF64" s="964">
        <v>0.19</v>
      </c>
      <c r="CG64" s="970">
        <f t="shared" si="16"/>
        <v>-8.1305817948867389</v>
      </c>
      <c r="CH64" s="966">
        <f>CO64/(AB64*I64)*60</f>
        <v>2.4798512089274642</v>
      </c>
      <c r="CI64" s="966">
        <f>CP64/(AB64*I64)*60</f>
        <v>2.8341156673456731</v>
      </c>
      <c r="CJ64" s="966">
        <f>(CO64+CQ64)/(AB64*I64)*60</f>
        <v>32.060933486847937</v>
      </c>
      <c r="CK64" s="966">
        <f>(CP64+CR64)/(AB64*I64)*60</f>
        <v>28.695421131874944</v>
      </c>
      <c r="CL64" s="966">
        <f>(CO64+CQ64+CS64+CV64)/(AB64*I64)*60</f>
        <v>58.630767868213617</v>
      </c>
      <c r="CM64" s="966">
        <f>(CP64+CR64+CT64+CU64)/(AB64*I64)*60</f>
        <v>56.859445576122575</v>
      </c>
      <c r="CN64" s="961">
        <f t="shared" si="17"/>
        <v>-10.9000859051596</v>
      </c>
      <c r="CO64" s="967">
        <v>14</v>
      </c>
      <c r="CP64" s="967">
        <v>16</v>
      </c>
      <c r="CQ64" s="967">
        <v>167</v>
      </c>
      <c r="CR64" s="967">
        <v>146</v>
      </c>
      <c r="CS64" s="967">
        <v>72</v>
      </c>
      <c r="CT64" s="967">
        <v>67</v>
      </c>
      <c r="CU64" s="967">
        <v>92</v>
      </c>
      <c r="CV64" s="967">
        <v>78</v>
      </c>
      <c r="CW64" s="959">
        <v>0</v>
      </c>
      <c r="CX64" s="959">
        <v>1</v>
      </c>
      <c r="CY64" s="967">
        <f t="shared" si="18"/>
        <v>1</v>
      </c>
      <c r="CZ64" s="966">
        <f>CW64/(X64*I64)*60</f>
        <v>0</v>
      </c>
      <c r="DA64" s="966">
        <f>CX64/(X64*I64)*60</f>
        <v>0.48537144397991488</v>
      </c>
      <c r="DB64" s="966">
        <f>CY64/(X64*I64)*60</f>
        <v>0.48537144397991488</v>
      </c>
      <c r="DC64" s="9">
        <v>5</v>
      </c>
      <c r="DD64" s="9">
        <v>5</v>
      </c>
      <c r="DE64" s="971">
        <v>3.81</v>
      </c>
      <c r="DF64" s="971">
        <v>5.7</v>
      </c>
      <c r="DG64" s="971">
        <v>4.58</v>
      </c>
      <c r="DH64" s="971">
        <v>4.84</v>
      </c>
      <c r="DI64" s="9">
        <v>0</v>
      </c>
      <c r="DJ64" s="9">
        <v>1</v>
      </c>
      <c r="DK64" s="962">
        <f t="shared" si="19"/>
        <v>0</v>
      </c>
      <c r="DL64" s="967">
        <v>1</v>
      </c>
      <c r="DM64" s="967">
        <v>0</v>
      </c>
      <c r="DN64" s="9">
        <v>0</v>
      </c>
      <c r="DO64" s="9">
        <v>0</v>
      </c>
      <c r="DP64" s="9">
        <v>0</v>
      </c>
      <c r="DQ64" s="9">
        <v>0</v>
      </c>
      <c r="DR64" s="9">
        <v>0</v>
      </c>
      <c r="DS64" s="9">
        <v>0</v>
      </c>
      <c r="DT64" s="959"/>
      <c r="DU64" s="967"/>
      <c r="DV64" s="959"/>
      <c r="DW64" s="959"/>
      <c r="DX64" s="959"/>
      <c r="DY64" s="959"/>
      <c r="DZ64" s="959"/>
      <c r="EA64" s="9"/>
    </row>
    <row r="65" spans="1:131" ht="26.25" x14ac:dyDescent="0.25">
      <c r="A65" s="9" t="s">
        <v>390</v>
      </c>
      <c r="B65" s="9" t="s">
        <v>310</v>
      </c>
      <c r="C65" s="10" t="s">
        <v>391</v>
      </c>
      <c r="D65" s="959" t="s">
        <v>169</v>
      </c>
      <c r="E65" s="9" t="s">
        <v>155</v>
      </c>
      <c r="F65" s="9">
        <f>6/53</f>
        <v>0.11320754716981132</v>
      </c>
      <c r="G65" s="9" t="s">
        <v>456</v>
      </c>
      <c r="H65" s="9">
        <f>34/52</f>
        <v>0.65384615384615385</v>
      </c>
      <c r="I65" s="9">
        <v>53</v>
      </c>
      <c r="J65" s="9">
        <v>0</v>
      </c>
      <c r="K65" s="9">
        <v>6</v>
      </c>
      <c r="L65" s="957">
        <f>J65+K65</f>
        <v>6</v>
      </c>
      <c r="M65" s="958">
        <f t="shared" si="0"/>
        <v>0.82323347816144521</v>
      </c>
      <c r="N65" s="959">
        <v>0</v>
      </c>
      <c r="O65" s="959">
        <v>4</v>
      </c>
      <c r="P65" s="959">
        <v>2</v>
      </c>
      <c r="Q65" s="959">
        <v>24</v>
      </c>
      <c r="R65" s="959">
        <v>11</v>
      </c>
      <c r="S65" s="959">
        <v>16</v>
      </c>
      <c r="T65" s="959">
        <v>21</v>
      </c>
      <c r="U65" s="960">
        <f>IF(Q65&gt;0,J65/Q65,0)</f>
        <v>0</v>
      </c>
      <c r="V65" s="960">
        <f>IF(SUM(Q65:S65)&gt;0,J65/SUM(Q65:S65),0)</f>
        <v>0</v>
      </c>
      <c r="W65" s="961">
        <v>437.3</v>
      </c>
      <c r="X65" s="961">
        <f>W65/I65</f>
        <v>8.2509433962264147</v>
      </c>
      <c r="Y65" s="961">
        <v>433.74</v>
      </c>
      <c r="Z65" s="961">
        <f>Y65/I65</f>
        <v>8.1837735849056603</v>
      </c>
      <c r="AA65" s="961">
        <v>2087.1999999999998</v>
      </c>
      <c r="AB65" s="961">
        <f>AA65/I65</f>
        <v>39.381132075471697</v>
      </c>
      <c r="AC65" s="962">
        <f t="shared" si="1"/>
        <v>0.17205486842209652</v>
      </c>
      <c r="AD65" s="963">
        <f t="shared" si="2"/>
        <v>65.333333333333329</v>
      </c>
      <c r="AE65">
        <v>12</v>
      </c>
      <c r="AF65" s="959">
        <v>90</v>
      </c>
      <c r="AG65" s="959">
        <v>64</v>
      </c>
      <c r="AH65" s="959">
        <v>11</v>
      </c>
      <c r="AI65" s="959">
        <v>14</v>
      </c>
      <c r="AJ65" s="960">
        <f>IF(N65&gt;0,J65/BU65,0)</f>
        <v>0</v>
      </c>
      <c r="AK65" s="960">
        <f t="shared" si="3"/>
        <v>0.5</v>
      </c>
      <c r="AL65" s="960">
        <f t="shared" si="4"/>
        <v>0.5</v>
      </c>
      <c r="AM65" s="959">
        <v>118</v>
      </c>
      <c r="AN65" s="962">
        <f t="shared" si="5"/>
        <v>0.30569948186528495</v>
      </c>
      <c r="AO65" s="959">
        <v>123</v>
      </c>
      <c r="AP65" s="962">
        <f t="shared" si="6"/>
        <v>0.31865284974093266</v>
      </c>
      <c r="AQ65" s="959">
        <v>145</v>
      </c>
      <c r="AR65" s="962">
        <f t="shared" si="7"/>
        <v>0.37564766839378239</v>
      </c>
      <c r="AS65" s="962">
        <f t="shared" si="8"/>
        <v>0.48962655601659749</v>
      </c>
      <c r="AT65" s="959">
        <v>7</v>
      </c>
      <c r="AU65" s="964">
        <v>-2.0499999999999998</v>
      </c>
      <c r="AV65" s="965">
        <v>167</v>
      </c>
      <c r="AW65" s="965">
        <v>152</v>
      </c>
      <c r="AX65" s="965">
        <v>131</v>
      </c>
      <c r="AY65" s="962">
        <f t="shared" si="9"/>
        <v>0.52351097178683381</v>
      </c>
      <c r="AZ65" s="966">
        <v>16.41</v>
      </c>
      <c r="BA65" s="967">
        <v>14</v>
      </c>
      <c r="BB65" s="965">
        <v>-1.98</v>
      </c>
      <c r="BC65" s="959">
        <v>14</v>
      </c>
      <c r="BD65" s="968">
        <v>-1.5329999999999999</v>
      </c>
      <c r="BE65" s="961">
        <v>49.34</v>
      </c>
      <c r="BF65" s="966">
        <v>16.829999999999998</v>
      </c>
      <c r="BG65" s="968">
        <v>-0.46900000000000003</v>
      </c>
      <c r="BH65" s="968">
        <v>2.19</v>
      </c>
      <c r="BI65" s="961">
        <v>49.41</v>
      </c>
      <c r="BJ65" s="962">
        <f t="shared" si="10"/>
        <v>6.1224489795918366E-2</v>
      </c>
      <c r="BK65" s="969">
        <f t="shared" si="11"/>
        <v>0.95580110497237569</v>
      </c>
      <c r="BL65" s="967">
        <f t="shared" si="12"/>
        <v>1017.025594768294</v>
      </c>
      <c r="BM65" s="962">
        <f t="shared" si="13"/>
        <v>1.7025594768294058E-2</v>
      </c>
      <c r="BN65" s="966">
        <f>BU65/(Z65*I65)*60</f>
        <v>1.6599806335592751</v>
      </c>
      <c r="BO65" s="966">
        <f>BV65/(Z65*I65)*60</f>
        <v>1.1066537557061835</v>
      </c>
      <c r="BP65" s="961">
        <f>(BU65+BW65)/(Z65*I65)*60</f>
        <v>27.113017014801493</v>
      </c>
      <c r="BQ65" s="961">
        <f>(BV65+BX65)/(Z65*I65)*60</f>
        <v>25.038041222852399</v>
      </c>
      <c r="BR65" s="961">
        <f>(BU65+BW65+BY65+CB65)/(Z65*I65)*60</f>
        <v>50.076082445704799</v>
      </c>
      <c r="BS65" s="961">
        <f>(BV65+BX65+BZ65+CA65)/(Z65*I65)*60</f>
        <v>48.139438373218979</v>
      </c>
      <c r="BT65" s="961">
        <f t="shared" si="14"/>
        <v>1.9366440724858194</v>
      </c>
      <c r="BU65" s="959">
        <v>12</v>
      </c>
      <c r="BV65" s="959">
        <v>8</v>
      </c>
      <c r="BW65" s="967">
        <v>184</v>
      </c>
      <c r="BX65" s="967">
        <v>173</v>
      </c>
      <c r="BY65" s="967">
        <v>73</v>
      </c>
      <c r="BZ65" s="967">
        <v>58</v>
      </c>
      <c r="CA65" s="967">
        <v>109</v>
      </c>
      <c r="CB65" s="967">
        <v>93</v>
      </c>
      <c r="CC65" s="959">
        <v>169</v>
      </c>
      <c r="CD65" s="959">
        <v>151</v>
      </c>
      <c r="CE65" s="962">
        <f t="shared" si="15"/>
        <v>0.52812499999999996</v>
      </c>
      <c r="CF65" s="964">
        <v>0.72</v>
      </c>
      <c r="CG65" s="970">
        <f t="shared" si="16"/>
        <v>-1.6273932719125188</v>
      </c>
      <c r="CH65" s="966">
        <f>CO65/(AB65*I65)*60</f>
        <v>2.6446914526638561</v>
      </c>
      <c r="CI65" s="966">
        <f>CP65/(AB65*I65)*60</f>
        <v>2.4434649290916064</v>
      </c>
      <c r="CJ65" s="966">
        <f>(CO65+CQ65)/(AB65*I65)*60</f>
        <v>29.06285933307781</v>
      </c>
      <c r="CK65" s="966">
        <f>(CP65+CR65)/(AB65*I65)*60</f>
        <v>28.14296665389038</v>
      </c>
      <c r="CL65" s="966">
        <f>(CO65+CQ65+CS65+CV65)/(AB65*I65)*60</f>
        <v>56.487159831353011</v>
      </c>
      <c r="CM65" s="966">
        <f>(CP65+CR65+CT65+CU65)/(AB65*I65)*60</f>
        <v>54.963587581448841</v>
      </c>
      <c r="CN65" s="961">
        <f t="shared" si="17"/>
        <v>0.41307182258164943</v>
      </c>
      <c r="CO65" s="967">
        <v>92</v>
      </c>
      <c r="CP65" s="967">
        <v>85</v>
      </c>
      <c r="CQ65" s="967">
        <v>919</v>
      </c>
      <c r="CR65" s="967">
        <v>894</v>
      </c>
      <c r="CS65" s="967">
        <v>427</v>
      </c>
      <c r="CT65" s="967">
        <v>402</v>
      </c>
      <c r="CU65" s="967">
        <v>531</v>
      </c>
      <c r="CV65" s="967">
        <v>527</v>
      </c>
      <c r="CW65" s="959">
        <v>3</v>
      </c>
      <c r="CX65" s="959">
        <v>1</v>
      </c>
      <c r="CY65" s="967">
        <f t="shared" si="18"/>
        <v>-2</v>
      </c>
      <c r="CZ65" s="966">
        <f>CW65/(X65*I65)*60</f>
        <v>0.41161673908072266</v>
      </c>
      <c r="DA65" s="966">
        <f>CX65/(X65*I65)*60</f>
        <v>0.13720557969357422</v>
      </c>
      <c r="DB65" s="966">
        <f>CY65/(X65*I65)*60</f>
        <v>-0.27441115938714844</v>
      </c>
      <c r="DC65" s="9">
        <v>16</v>
      </c>
      <c r="DD65" s="9">
        <v>13</v>
      </c>
      <c r="DE65" s="971">
        <v>16.14</v>
      </c>
      <c r="DF65" s="971">
        <v>14.72</v>
      </c>
      <c r="DG65" s="971">
        <v>15.08</v>
      </c>
      <c r="DH65" s="971">
        <v>15</v>
      </c>
      <c r="DI65" s="9">
        <v>158</v>
      </c>
      <c r="DJ65" s="9">
        <v>172</v>
      </c>
      <c r="DK65" s="962">
        <f t="shared" si="19"/>
        <v>0.47878787878787876</v>
      </c>
      <c r="DL65" s="967">
        <v>101</v>
      </c>
      <c r="DM65" s="967">
        <v>48</v>
      </c>
      <c r="DN65" s="9">
        <v>20</v>
      </c>
      <c r="DO65" s="9">
        <v>0</v>
      </c>
      <c r="DP65" s="9">
        <v>0.19800000000000001</v>
      </c>
      <c r="DQ65" s="9">
        <v>1</v>
      </c>
      <c r="DR65" s="9">
        <v>0</v>
      </c>
      <c r="DS65" s="9">
        <v>0.01</v>
      </c>
      <c r="DT65" s="9">
        <v>108</v>
      </c>
      <c r="DU65" s="973">
        <v>52</v>
      </c>
      <c r="DV65" s="9">
        <v>0</v>
      </c>
      <c r="DW65" s="9">
        <v>13</v>
      </c>
      <c r="DX65" s="9">
        <v>-0.12</v>
      </c>
      <c r="DY65" s="9">
        <v>0</v>
      </c>
      <c r="DZ65" s="9">
        <v>0</v>
      </c>
      <c r="EA65" s="9">
        <v>0</v>
      </c>
    </row>
    <row r="66" spans="1:131" ht="26.25" x14ac:dyDescent="0.25">
      <c r="A66" s="9" t="s">
        <v>268</v>
      </c>
      <c r="B66" s="9" t="s">
        <v>318</v>
      </c>
      <c r="C66" s="10" t="s">
        <v>392</v>
      </c>
      <c r="D66" s="959" t="s">
        <v>159</v>
      </c>
      <c r="E66" s="9" t="s">
        <v>137</v>
      </c>
      <c r="F66" s="9">
        <f>5/36</f>
        <v>0.1388888888888889</v>
      </c>
      <c r="G66" s="9" t="s">
        <v>456</v>
      </c>
      <c r="H66" s="9">
        <f>65/75</f>
        <v>0.8666666666666667</v>
      </c>
      <c r="I66" s="9">
        <v>36</v>
      </c>
      <c r="J66" s="9">
        <v>4</v>
      </c>
      <c r="K66" s="9">
        <v>1</v>
      </c>
      <c r="L66" s="957">
        <f>J66+K66</f>
        <v>5</v>
      </c>
      <c r="M66" s="958">
        <f t="shared" si="0"/>
        <v>0.72883346155397588</v>
      </c>
      <c r="N66" s="959">
        <v>4</v>
      </c>
      <c r="O66" s="959">
        <v>1</v>
      </c>
      <c r="P66" s="959">
        <v>0</v>
      </c>
      <c r="Q66" s="959">
        <v>41</v>
      </c>
      <c r="R66" s="959">
        <v>25</v>
      </c>
      <c r="S66" s="959">
        <v>11</v>
      </c>
      <c r="T66" s="959">
        <v>50</v>
      </c>
      <c r="U66" s="960">
        <f>IF(Q66&gt;0,J66/Q66,0)</f>
        <v>9.7560975609756101E-2</v>
      </c>
      <c r="V66" s="960">
        <f>IF(SUM(Q66:S66)&gt;0,J66/SUM(Q66:S66),0)</f>
        <v>5.1948051948051951E-2</v>
      </c>
      <c r="W66" s="961">
        <v>411.61666666669998</v>
      </c>
      <c r="X66" s="961">
        <f>W66/I66</f>
        <v>11.433796296297222</v>
      </c>
      <c r="Y66" s="961">
        <v>395.26</v>
      </c>
      <c r="Z66" s="961">
        <f>Y66/I66</f>
        <v>10.979444444444445</v>
      </c>
      <c r="AA66" s="961">
        <v>1318.98</v>
      </c>
      <c r="AB66" s="961">
        <f>AA66/I66</f>
        <v>36.638333333333335</v>
      </c>
      <c r="AC66" s="962">
        <f t="shared" si="1"/>
        <v>0.2305744819861863</v>
      </c>
      <c r="AD66" s="963">
        <f t="shared" si="2"/>
        <v>23.875</v>
      </c>
      <c r="AE66">
        <v>13</v>
      </c>
      <c r="AF66" s="959">
        <v>84</v>
      </c>
      <c r="AG66" s="959">
        <v>47</v>
      </c>
      <c r="AH66" s="959">
        <v>12</v>
      </c>
      <c r="AI66" s="959">
        <v>9</v>
      </c>
      <c r="AJ66" s="960">
        <f>IF(N66&gt;0,J66/BU66,0)</f>
        <v>0.5</v>
      </c>
      <c r="AK66" s="960">
        <f t="shared" si="3"/>
        <v>0.125</v>
      </c>
      <c r="AL66" s="960">
        <f t="shared" si="4"/>
        <v>0.625</v>
      </c>
      <c r="AM66" s="959">
        <v>124</v>
      </c>
      <c r="AN66" s="962">
        <f t="shared" si="5"/>
        <v>0.33155080213903743</v>
      </c>
      <c r="AO66" s="959">
        <v>105</v>
      </c>
      <c r="AP66" s="962">
        <f t="shared" si="6"/>
        <v>0.28074866310160429</v>
      </c>
      <c r="AQ66" s="959">
        <v>145</v>
      </c>
      <c r="AR66" s="962">
        <f t="shared" si="7"/>
        <v>0.38770053475935828</v>
      </c>
      <c r="AS66" s="962">
        <f t="shared" si="8"/>
        <v>0.54148471615720528</v>
      </c>
      <c r="AT66" s="959">
        <v>10</v>
      </c>
      <c r="AU66" s="964">
        <v>4.6500000000000004</v>
      </c>
      <c r="AV66" s="965">
        <v>145</v>
      </c>
      <c r="AW66" s="965">
        <v>157</v>
      </c>
      <c r="AX66" s="965">
        <v>124</v>
      </c>
      <c r="AY66" s="962">
        <f t="shared" si="9"/>
        <v>0.48013245033112584</v>
      </c>
      <c r="AZ66" s="966">
        <v>17.03</v>
      </c>
      <c r="BA66" s="967">
        <v>13</v>
      </c>
      <c r="BB66" s="965">
        <v>0.32700000000000001</v>
      </c>
      <c r="BC66" s="959">
        <v>12</v>
      </c>
      <c r="BD66" s="968">
        <v>0.28899999999999998</v>
      </c>
      <c r="BE66" s="961">
        <v>50.19</v>
      </c>
      <c r="BF66" s="966">
        <v>17.149999999999999</v>
      </c>
      <c r="BG66" s="968">
        <v>0.55300000000000005</v>
      </c>
      <c r="BH66" s="968">
        <v>5.9269999999999996</v>
      </c>
      <c r="BI66" s="961">
        <v>51.46</v>
      </c>
      <c r="BJ66" s="962">
        <f t="shared" si="10"/>
        <v>4.1884816753926704E-2</v>
      </c>
      <c r="BK66" s="969">
        <f t="shared" si="11"/>
        <v>0.92610837438423643</v>
      </c>
      <c r="BL66" s="967">
        <f t="shared" si="12"/>
        <v>967.99319113816307</v>
      </c>
      <c r="BM66" s="962">
        <f t="shared" si="13"/>
        <v>-3.2006808861836863E-2</v>
      </c>
      <c r="BN66" s="966">
        <f>BU66/(Z66*I66)*60</f>
        <v>1.2143905277538836</v>
      </c>
      <c r="BO66" s="966">
        <f>BV66/(Z66*I66)*60</f>
        <v>2.2769822395385315</v>
      </c>
      <c r="BP66" s="961">
        <f>(BU66+BW66)/(Z66*I66)*60</f>
        <v>28.993573850123969</v>
      </c>
      <c r="BQ66" s="961">
        <f>(BV66+BX66)/(Z66*I66)*60</f>
        <v>30.815159641754793</v>
      </c>
      <c r="BR66" s="961">
        <f>(BU66+BW66+BY66+CB66)/(Z66*I66)*60</f>
        <v>59.960532307847998</v>
      </c>
      <c r="BS66" s="961">
        <f>(BV66+BX66+BZ66+CA66)/(Z66*I66)*60</f>
        <v>57.987147700247938</v>
      </c>
      <c r="BT66" s="961">
        <f t="shared" si="14"/>
        <v>1.9733846076000603</v>
      </c>
      <c r="BU66" s="959">
        <v>8</v>
      </c>
      <c r="BV66" s="959">
        <v>15</v>
      </c>
      <c r="BW66" s="967">
        <v>183</v>
      </c>
      <c r="BX66" s="967">
        <v>188</v>
      </c>
      <c r="BY66" s="967">
        <v>91</v>
      </c>
      <c r="BZ66" s="967">
        <v>87</v>
      </c>
      <c r="CA66" s="967">
        <v>92</v>
      </c>
      <c r="CB66" s="967">
        <v>113</v>
      </c>
      <c r="CC66" s="959">
        <v>184</v>
      </c>
      <c r="CD66" s="959">
        <v>203</v>
      </c>
      <c r="CE66" s="962">
        <f t="shared" si="15"/>
        <v>0.47545219638242892</v>
      </c>
      <c r="CF66" s="964">
        <v>-7.25</v>
      </c>
      <c r="CG66" s="970">
        <f t="shared" si="16"/>
        <v>-4.7502485801728671</v>
      </c>
      <c r="CH66" s="966">
        <f>CO66/(AB66*I66)*60</f>
        <v>3.0932993676932172</v>
      </c>
      <c r="CI66" s="966">
        <f>CP66/(AB66*I66)*60</f>
        <v>3.5027066369467317</v>
      </c>
      <c r="CJ66" s="966">
        <f>(CO66+CQ66)/(AB66*I66)*60</f>
        <v>31.069462766683348</v>
      </c>
      <c r="CK66" s="966">
        <f>(CP66+CR66)/(AB66*I66)*60</f>
        <v>28.840467634080881</v>
      </c>
      <c r="CL66" s="966">
        <f>(CO66+CQ66+CS66+CV66)/(AB66*I66)*60</f>
        <v>65.641632170313429</v>
      </c>
      <c r="CM66" s="966">
        <f>(CP66+CR66+CT66+CU66)/(AB66*I66)*60</f>
        <v>57.453486785243143</v>
      </c>
      <c r="CN66" s="961">
        <f t="shared" si="17"/>
        <v>-6.2147607774702252</v>
      </c>
      <c r="CO66" s="967">
        <v>68</v>
      </c>
      <c r="CP66" s="967">
        <v>77</v>
      </c>
      <c r="CQ66" s="967">
        <v>615</v>
      </c>
      <c r="CR66" s="967">
        <v>557</v>
      </c>
      <c r="CS66" s="967">
        <v>341</v>
      </c>
      <c r="CT66" s="967">
        <v>290</v>
      </c>
      <c r="CU66" s="967">
        <v>339</v>
      </c>
      <c r="CV66" s="967">
        <v>419</v>
      </c>
      <c r="CW66" s="959">
        <v>4</v>
      </c>
      <c r="CX66" s="959">
        <v>5</v>
      </c>
      <c r="CY66" s="967">
        <f t="shared" si="18"/>
        <v>1</v>
      </c>
      <c r="CZ66" s="966">
        <f>CW66/(X66*I66)*60</f>
        <v>0.58306676924318079</v>
      </c>
      <c r="DA66" s="966">
        <f>CX66/(X66*I66)*60</f>
        <v>0.72883346155397588</v>
      </c>
      <c r="DB66" s="966">
        <f>CY66/(X66*I66)*60</f>
        <v>0.1457666923107952</v>
      </c>
      <c r="DC66" s="9">
        <v>15</v>
      </c>
      <c r="DD66" s="9">
        <v>17</v>
      </c>
      <c r="DE66" s="971">
        <v>19.16</v>
      </c>
      <c r="DF66" s="971">
        <v>17.39</v>
      </c>
      <c r="DG66" s="971">
        <v>17.66</v>
      </c>
      <c r="DH66" s="971">
        <v>15.07</v>
      </c>
      <c r="DI66" s="9">
        <v>3</v>
      </c>
      <c r="DJ66" s="9">
        <v>5</v>
      </c>
      <c r="DK66" s="962">
        <f t="shared" si="19"/>
        <v>0.375</v>
      </c>
      <c r="DL66" s="967">
        <v>4</v>
      </c>
      <c r="DM66" s="967">
        <v>2</v>
      </c>
      <c r="DN66" s="9">
        <v>0</v>
      </c>
      <c r="DO66" s="9">
        <v>0</v>
      </c>
      <c r="DP66" s="9">
        <v>0</v>
      </c>
      <c r="DQ66" s="9">
        <v>0</v>
      </c>
      <c r="DR66" s="9">
        <v>0</v>
      </c>
      <c r="DS66" s="9">
        <v>0</v>
      </c>
      <c r="DT66" s="9">
        <v>2</v>
      </c>
      <c r="DU66" s="973">
        <v>0</v>
      </c>
      <c r="DV66" s="9">
        <v>0</v>
      </c>
      <c r="DW66" s="9">
        <v>1</v>
      </c>
      <c r="DX66" s="9">
        <v>-0.5</v>
      </c>
      <c r="DY66" s="9">
        <v>0</v>
      </c>
      <c r="DZ66" s="9">
        <v>0</v>
      </c>
      <c r="EA66" s="9">
        <v>0</v>
      </c>
    </row>
    <row r="67" spans="1:131" ht="39" x14ac:dyDescent="0.25">
      <c r="A67" s="9" t="s">
        <v>393</v>
      </c>
      <c r="B67" s="9" t="s">
        <v>191</v>
      </c>
      <c r="C67" s="10" t="s">
        <v>394</v>
      </c>
      <c r="D67" s="959" t="s">
        <v>221</v>
      </c>
      <c r="E67" s="9" t="s">
        <v>155</v>
      </c>
      <c r="F67" s="9">
        <f>5/21</f>
        <v>0.23809523809523808</v>
      </c>
      <c r="G67" s="9" t="s">
        <v>458</v>
      </c>
      <c r="H67" s="9">
        <f>37/55</f>
        <v>0.67272727272727273</v>
      </c>
      <c r="I67" s="9">
        <v>21</v>
      </c>
      <c r="J67" s="9">
        <v>3</v>
      </c>
      <c r="K67" s="9">
        <v>1</v>
      </c>
      <c r="L67" s="957">
        <f>J67+K67</f>
        <v>4</v>
      </c>
      <c r="M67" s="958">
        <f t="shared" si="0"/>
        <v>1.1110253838436679</v>
      </c>
      <c r="N67" s="959">
        <v>3</v>
      </c>
      <c r="O67" s="959">
        <v>1</v>
      </c>
      <c r="P67" s="959">
        <v>0</v>
      </c>
      <c r="Q67" s="959">
        <v>23</v>
      </c>
      <c r="R67" s="959">
        <v>11</v>
      </c>
      <c r="S67" s="959">
        <v>6</v>
      </c>
      <c r="T67" s="959">
        <v>21</v>
      </c>
      <c r="U67" s="960">
        <f>IF(Q67&gt;0,J67/Q67,0)</f>
        <v>0.13043478260869565</v>
      </c>
      <c r="V67" s="960">
        <f>IF(SUM(Q67:S67)&gt;0,J67/SUM(Q67:S67),0)</f>
        <v>7.4999999999999997E-2</v>
      </c>
      <c r="W67" s="961">
        <v>216.01666666669999</v>
      </c>
      <c r="X67" s="961">
        <f>W67/I67</f>
        <v>10.286507936509523</v>
      </c>
      <c r="Y67" s="961">
        <v>212.24</v>
      </c>
      <c r="Z67" s="961">
        <f>Y67/I67</f>
        <v>10.106666666666667</v>
      </c>
      <c r="AA67" s="961">
        <v>790.89</v>
      </c>
      <c r="AB67" s="961">
        <f>AA67/I67</f>
        <v>37.661428571428573</v>
      </c>
      <c r="AC67" s="962">
        <f t="shared" si="1"/>
        <v>0.21157776160617267</v>
      </c>
      <c r="AD67" s="963">
        <f t="shared" si="2"/>
        <v>10.8</v>
      </c>
      <c r="AE67">
        <v>6</v>
      </c>
      <c r="AF67" s="959">
        <v>18</v>
      </c>
      <c r="AG67" s="959">
        <v>27</v>
      </c>
      <c r="AH67" s="959">
        <v>7</v>
      </c>
      <c r="AI67" s="959">
        <v>8</v>
      </c>
      <c r="AJ67" s="960">
        <f>IF(N67&gt;0,J67/BU67,0)</f>
        <v>0.3</v>
      </c>
      <c r="AK67" s="960">
        <f t="shared" si="3"/>
        <v>0.1</v>
      </c>
      <c r="AL67" s="960">
        <f t="shared" si="4"/>
        <v>0.4</v>
      </c>
      <c r="AM67" s="959">
        <v>73</v>
      </c>
      <c r="AN67" s="962">
        <f t="shared" si="5"/>
        <v>0.37244897959183676</v>
      </c>
      <c r="AO67" s="959">
        <v>54</v>
      </c>
      <c r="AP67" s="962">
        <f t="shared" si="6"/>
        <v>0.27551020408163263</v>
      </c>
      <c r="AQ67" s="959">
        <v>69</v>
      </c>
      <c r="AR67" s="962">
        <f t="shared" si="7"/>
        <v>0.35204081632653061</v>
      </c>
      <c r="AS67" s="962">
        <f t="shared" si="8"/>
        <v>0.57480314960629919</v>
      </c>
      <c r="AT67" s="959">
        <v>20</v>
      </c>
      <c r="AU67" s="964">
        <v>9.57</v>
      </c>
      <c r="AV67" s="965">
        <v>67</v>
      </c>
      <c r="AW67" s="965">
        <v>97</v>
      </c>
      <c r="AX67" s="965">
        <v>71</v>
      </c>
      <c r="AY67" s="962">
        <f t="shared" si="9"/>
        <v>0.40853658536585363</v>
      </c>
      <c r="AZ67" s="966">
        <v>17.09</v>
      </c>
      <c r="BA67" s="967">
        <v>16</v>
      </c>
      <c r="BB67" s="965">
        <v>0.185</v>
      </c>
      <c r="BC67" s="959">
        <v>10</v>
      </c>
      <c r="BD67" s="968">
        <v>-0.23500000000000001</v>
      </c>
      <c r="BE67" s="961">
        <v>50.2</v>
      </c>
      <c r="BF67" s="966">
        <v>17.27</v>
      </c>
      <c r="BG67" s="968">
        <v>1.913</v>
      </c>
      <c r="BH67" s="968">
        <v>2.5249999999999999</v>
      </c>
      <c r="BI67" s="961">
        <v>49.05</v>
      </c>
      <c r="BJ67" s="962">
        <f t="shared" si="10"/>
        <v>9.2592592592592587E-2</v>
      </c>
      <c r="BK67" s="969">
        <f t="shared" si="11"/>
        <v>0.93457943925233644</v>
      </c>
      <c r="BL67" s="967">
        <f t="shared" si="12"/>
        <v>1027.1720318449291</v>
      </c>
      <c r="BM67" s="962">
        <f t="shared" si="13"/>
        <v>2.7172031844929029E-2</v>
      </c>
      <c r="BN67" s="966">
        <f>BU67/(Z67*I67)*60</f>
        <v>2.8269883151149644</v>
      </c>
      <c r="BO67" s="966">
        <f>BV67/(Z67*I67)*60</f>
        <v>1.9788918205804749</v>
      </c>
      <c r="BP67" s="961">
        <f>(BU67+BW67)/(Z67*I67)*60</f>
        <v>30.53147380324161</v>
      </c>
      <c r="BQ67" s="961">
        <f>(BV67+BX67)/(Z67*I67)*60</f>
        <v>30.248774971730114</v>
      </c>
      <c r="BR67" s="961">
        <f>(BU67+BW67+BY67+CB67)/(Z67*I67)*60</f>
        <v>53.430079155672821</v>
      </c>
      <c r="BS67" s="961">
        <f>(BV67+BX67+BZ67+CA67)/(Z67*I67)*60</f>
        <v>55.408970976253293</v>
      </c>
      <c r="BT67" s="961">
        <f t="shared" si="14"/>
        <v>-1.978891820580472</v>
      </c>
      <c r="BU67" s="959">
        <v>10</v>
      </c>
      <c r="BV67" s="959">
        <v>7</v>
      </c>
      <c r="BW67" s="967">
        <v>98</v>
      </c>
      <c r="BX67" s="967">
        <v>100</v>
      </c>
      <c r="BY67" s="967">
        <v>37</v>
      </c>
      <c r="BZ67" s="967">
        <v>43</v>
      </c>
      <c r="CA67" s="967">
        <v>46</v>
      </c>
      <c r="CB67" s="967">
        <v>44</v>
      </c>
      <c r="CC67" s="959">
        <v>87</v>
      </c>
      <c r="CD67" s="959">
        <v>78</v>
      </c>
      <c r="CE67" s="962">
        <f t="shared" si="15"/>
        <v>0.52727272727272723</v>
      </c>
      <c r="CF67" s="964">
        <v>1.1499999999999999</v>
      </c>
      <c r="CG67" s="970">
        <f t="shared" si="16"/>
        <v>-6.6241674111316531</v>
      </c>
      <c r="CH67" s="966">
        <f>CO67/(AB67*I67)*60</f>
        <v>2.503508705382544</v>
      </c>
      <c r="CI67" s="966">
        <f>CP67/(AB67*I67)*60</f>
        <v>1.972461404240792</v>
      </c>
      <c r="CJ67" s="966">
        <f>(CO67+CQ67)/(AB67*I67)*60</f>
        <v>29.890376664264309</v>
      </c>
      <c r="CK67" s="966">
        <f>(CP67+CR67)/(AB67*I67)*60</f>
        <v>27.538595759207983</v>
      </c>
      <c r="CL67" s="966">
        <f>(CO67+CQ67+CS67+CV67)/(AB67*I67)*60</f>
        <v>55.987558320373253</v>
      </c>
      <c r="CM67" s="966">
        <f>(CP67+CR67+CT67+CU67)/(AB67*I67)*60</f>
        <v>54.622008117437318</v>
      </c>
      <c r="CN67" s="961">
        <f t="shared" si="17"/>
        <v>-3.3444420235164074</v>
      </c>
      <c r="CO67" s="967">
        <v>33</v>
      </c>
      <c r="CP67" s="967">
        <v>26</v>
      </c>
      <c r="CQ67" s="967">
        <v>361</v>
      </c>
      <c r="CR67" s="967">
        <v>337</v>
      </c>
      <c r="CS67" s="967">
        <v>157</v>
      </c>
      <c r="CT67" s="967">
        <v>165</v>
      </c>
      <c r="CU67" s="967">
        <v>192</v>
      </c>
      <c r="CV67" s="967">
        <v>187</v>
      </c>
      <c r="CW67" s="959">
        <v>0</v>
      </c>
      <c r="CX67" s="959">
        <v>4</v>
      </c>
      <c r="CY67" s="967">
        <f t="shared" si="18"/>
        <v>4</v>
      </c>
      <c r="CZ67" s="966">
        <f>CW67/(X67*I67)*60</f>
        <v>0</v>
      </c>
      <c r="DA67" s="966">
        <f>CX67/(X67*I67)*60</f>
        <v>1.1110253838436679</v>
      </c>
      <c r="DB67" s="966">
        <f>CY67/(X67*I67)*60</f>
        <v>1.1110253838436679</v>
      </c>
      <c r="DC67" s="9">
        <v>9</v>
      </c>
      <c r="DD67" s="9">
        <v>8</v>
      </c>
      <c r="DE67" s="971">
        <v>8.25</v>
      </c>
      <c r="DF67" s="971">
        <v>7.68</v>
      </c>
      <c r="DG67" s="971">
        <v>8.02</v>
      </c>
      <c r="DH67" s="971">
        <v>7.6</v>
      </c>
      <c r="DI67" s="9">
        <v>80</v>
      </c>
      <c r="DJ67" s="9">
        <v>83</v>
      </c>
      <c r="DK67" s="962">
        <f t="shared" si="19"/>
        <v>0.49079754601226994</v>
      </c>
      <c r="DL67" s="967">
        <v>52</v>
      </c>
      <c r="DM67" s="967">
        <v>23</v>
      </c>
      <c r="DN67" s="9">
        <v>6</v>
      </c>
      <c r="DO67" s="9">
        <v>0</v>
      </c>
      <c r="DP67" s="9">
        <v>0.115</v>
      </c>
      <c r="DQ67" s="9">
        <v>0</v>
      </c>
      <c r="DR67" s="9">
        <v>0</v>
      </c>
      <c r="DS67" s="9">
        <v>0</v>
      </c>
      <c r="DT67" s="9">
        <v>50</v>
      </c>
      <c r="DU67" s="973">
        <v>25</v>
      </c>
      <c r="DV67" s="9">
        <v>0</v>
      </c>
      <c r="DW67" s="9">
        <v>14</v>
      </c>
      <c r="DX67" s="9">
        <v>-0.28000000000000003</v>
      </c>
      <c r="DY67" s="9">
        <v>0</v>
      </c>
      <c r="DZ67" s="9">
        <v>0</v>
      </c>
      <c r="EA67" s="9">
        <v>0</v>
      </c>
    </row>
    <row r="68" spans="1:131" ht="26.25" x14ac:dyDescent="0.25">
      <c r="A68" s="9" t="s">
        <v>395</v>
      </c>
      <c r="B68" s="9" t="s">
        <v>345</v>
      </c>
      <c r="C68" s="10" t="s">
        <v>396</v>
      </c>
      <c r="D68" s="9" t="s">
        <v>274</v>
      </c>
      <c r="E68" s="9" t="s">
        <v>155</v>
      </c>
      <c r="F68" s="9">
        <f>5/28</f>
        <v>0.17857142857142858</v>
      </c>
      <c r="G68" s="9" t="s">
        <v>456</v>
      </c>
      <c r="H68" s="9">
        <f>44/55</f>
        <v>0.8</v>
      </c>
      <c r="I68" s="9">
        <v>28</v>
      </c>
      <c r="J68" s="9">
        <v>3</v>
      </c>
      <c r="K68" s="9">
        <v>2</v>
      </c>
      <c r="L68" s="957">
        <f>J68+K68</f>
        <v>5</v>
      </c>
      <c r="M68" s="958">
        <f t="shared" si="0"/>
        <v>0.84590441280135353</v>
      </c>
      <c r="N68" s="959">
        <v>3</v>
      </c>
      <c r="O68" s="959">
        <v>1</v>
      </c>
      <c r="P68" s="959">
        <v>1</v>
      </c>
      <c r="Q68" s="959">
        <v>24</v>
      </c>
      <c r="R68" s="959">
        <v>8</v>
      </c>
      <c r="S68" s="959">
        <v>7</v>
      </c>
      <c r="T68" s="959">
        <v>27</v>
      </c>
      <c r="U68" s="960">
        <f>IF(Q68&gt;0,J68/Q68,0)</f>
        <v>0.125</v>
      </c>
      <c r="V68" s="960">
        <f>IF(SUM(Q68:S68)&gt;0,J68/SUM(Q68:S68),0)</f>
        <v>7.6923076923076927E-2</v>
      </c>
      <c r="W68" s="961">
        <v>354.65</v>
      </c>
      <c r="X68" s="961">
        <f>W68/I68</f>
        <v>12.666071428571428</v>
      </c>
      <c r="Y68" s="961">
        <v>342.64</v>
      </c>
      <c r="Z68" s="961">
        <f>Y68/I68</f>
        <v>12.237142857142857</v>
      </c>
      <c r="AA68" s="961">
        <v>1045.06</v>
      </c>
      <c r="AB68" s="961">
        <f>AA68/I68</f>
        <v>37.323571428571427</v>
      </c>
      <c r="AC68" s="962">
        <f t="shared" si="1"/>
        <v>0.24691215680622614</v>
      </c>
      <c r="AD68" s="963">
        <f t="shared" si="2"/>
        <v>17.125</v>
      </c>
      <c r="AE68">
        <v>21</v>
      </c>
      <c r="AF68" s="959">
        <v>30</v>
      </c>
      <c r="AG68" s="959">
        <v>25</v>
      </c>
      <c r="AH68" s="959">
        <v>13</v>
      </c>
      <c r="AI68" s="959">
        <v>8</v>
      </c>
      <c r="AJ68" s="960">
        <f>IF(N68&gt;0,J68/BU68,0)</f>
        <v>0.375</v>
      </c>
      <c r="AK68" s="960">
        <f t="shared" si="3"/>
        <v>0.25</v>
      </c>
      <c r="AL68" s="960">
        <f t="shared" si="4"/>
        <v>0.625</v>
      </c>
      <c r="AM68" s="959">
        <v>89</v>
      </c>
      <c r="AN68" s="962">
        <f t="shared" si="5"/>
        <v>0.27987421383647798</v>
      </c>
      <c r="AO68" s="959">
        <v>118</v>
      </c>
      <c r="AP68" s="962">
        <f t="shared" si="6"/>
        <v>0.37106918238993708</v>
      </c>
      <c r="AQ68" s="959">
        <v>111</v>
      </c>
      <c r="AR68" s="962">
        <f t="shared" si="7"/>
        <v>0.34905660377358488</v>
      </c>
      <c r="AS68" s="962">
        <f t="shared" si="8"/>
        <v>0.42995169082125606</v>
      </c>
      <c r="AT68" s="959">
        <v>8</v>
      </c>
      <c r="AU68" s="964">
        <v>5.51</v>
      </c>
      <c r="AV68" s="965">
        <v>115</v>
      </c>
      <c r="AW68" s="965">
        <v>139</v>
      </c>
      <c r="AX68" s="965">
        <v>90</v>
      </c>
      <c r="AY68" s="962">
        <f t="shared" si="9"/>
        <v>0.452755905511811</v>
      </c>
      <c r="AZ68" s="966">
        <v>17.21</v>
      </c>
      <c r="BA68" s="967">
        <v>8</v>
      </c>
      <c r="BB68" s="965">
        <v>4.9000000000000002E-2</v>
      </c>
      <c r="BC68" s="959">
        <v>10</v>
      </c>
      <c r="BD68" s="968">
        <v>0.82200000000000006</v>
      </c>
      <c r="BE68" s="961">
        <v>50.33</v>
      </c>
      <c r="BF68" s="966">
        <v>17.43</v>
      </c>
      <c r="BG68" s="968">
        <v>1.036</v>
      </c>
      <c r="BH68" s="968">
        <v>-24.298999999999999</v>
      </c>
      <c r="BI68" s="961">
        <v>39.36</v>
      </c>
      <c r="BJ68" s="962">
        <f t="shared" si="10"/>
        <v>5.8394160583941604E-2</v>
      </c>
      <c r="BK68" s="969">
        <f t="shared" si="11"/>
        <v>0.910377358490566</v>
      </c>
      <c r="BL68" s="967">
        <f t="shared" si="12"/>
        <v>968.77151907450764</v>
      </c>
      <c r="BM68" s="962">
        <f t="shared" si="13"/>
        <v>-3.1228480925492394E-2</v>
      </c>
      <c r="BN68" s="966">
        <f>BU68/(Z68*I68)*60</f>
        <v>1.4008872285780996</v>
      </c>
      <c r="BO68" s="966">
        <f>BV68/(Z68*I68)*60</f>
        <v>3.327107167872986</v>
      </c>
      <c r="BP68" s="961">
        <f>(BU68+BW68)/(Z68*I68)*60</f>
        <v>23.990193789399953</v>
      </c>
      <c r="BQ68" s="961">
        <f>(BV68+BX68)/(Z68*I68)*60</f>
        <v>37.123511557319638</v>
      </c>
      <c r="BR68" s="961">
        <f>(BU68+BW68+BY68+CB68)/(Z68*I68)*60</f>
        <v>40.800840532337148</v>
      </c>
      <c r="BS68" s="961">
        <f>(BV68+BX68+BZ68+CA68)/(Z68*I68)*60</f>
        <v>70.744805043194035</v>
      </c>
      <c r="BT68" s="961">
        <f t="shared" si="14"/>
        <v>-29.943964510856887</v>
      </c>
      <c r="BU68" s="959">
        <v>8</v>
      </c>
      <c r="BV68" s="959">
        <v>19</v>
      </c>
      <c r="BW68" s="967">
        <v>129</v>
      </c>
      <c r="BX68" s="967">
        <v>193</v>
      </c>
      <c r="BY68" s="967">
        <v>48</v>
      </c>
      <c r="BZ68" s="967">
        <v>83</v>
      </c>
      <c r="CA68" s="967">
        <v>109</v>
      </c>
      <c r="CB68" s="967">
        <v>48</v>
      </c>
      <c r="CC68" s="959">
        <v>118</v>
      </c>
      <c r="CD68" s="959">
        <v>194</v>
      </c>
      <c r="CE68" s="962">
        <f t="shared" si="15"/>
        <v>0.37820512820512819</v>
      </c>
      <c r="CF68" s="964">
        <v>-3.88</v>
      </c>
      <c r="CG68" s="970">
        <f t="shared" si="16"/>
        <v>-3.2318050905670255</v>
      </c>
      <c r="CH68" s="966">
        <f>CO68/(AB68*I68)*60</f>
        <v>1.9520410311369683</v>
      </c>
      <c r="CI68" s="966">
        <f>CP68/(AB68*I68)*60</f>
        <v>3.1003004612175378</v>
      </c>
      <c r="CJ68" s="966">
        <f>(CO68+CQ68)/(AB68*I68)*60</f>
        <v>25.778424205308788</v>
      </c>
      <c r="CK68" s="966">
        <f>(CP68+CR68)/(AB68*I68)*60</f>
        <v>35.423803417985567</v>
      </c>
      <c r="CL68" s="966">
        <f>(CO68+CQ68+CS68+CV68)/(AB68*I68)*60</f>
        <v>44.552465887126104</v>
      </c>
      <c r="CM68" s="966">
        <f>(CP68+CR68+CT68+CU68)/(AB68*I68)*60</f>
        <v>67.747306374753606</v>
      </c>
      <c r="CN68" s="961">
        <f t="shared" si="17"/>
        <v>-6.7491240232293848</v>
      </c>
      <c r="CO68" s="967">
        <v>34</v>
      </c>
      <c r="CP68" s="967">
        <v>54</v>
      </c>
      <c r="CQ68" s="967">
        <v>415</v>
      </c>
      <c r="CR68" s="967">
        <v>563</v>
      </c>
      <c r="CS68" s="967">
        <v>151</v>
      </c>
      <c r="CT68" s="967">
        <v>231</v>
      </c>
      <c r="CU68" s="967">
        <v>332</v>
      </c>
      <c r="CV68" s="967">
        <v>176</v>
      </c>
      <c r="CW68" s="959">
        <v>4</v>
      </c>
      <c r="CX68" s="959">
        <v>2</v>
      </c>
      <c r="CY68" s="967">
        <f t="shared" si="18"/>
        <v>-2</v>
      </c>
      <c r="CZ68" s="966">
        <f>CW68/(X68*I68)*60</f>
        <v>0.67672353024108278</v>
      </c>
      <c r="DA68" s="966">
        <f>CX68/(X68*I68)*60</f>
        <v>0.33836176512054139</v>
      </c>
      <c r="DB68" s="966">
        <f>CY68/(X68*I68)*60</f>
        <v>-0.33836176512054139</v>
      </c>
      <c r="DC68" s="9">
        <v>9</v>
      </c>
      <c r="DD68" s="9">
        <v>16</v>
      </c>
      <c r="DE68" s="971">
        <v>9.6</v>
      </c>
      <c r="DF68" s="971">
        <v>15.7</v>
      </c>
      <c r="DG68" s="971">
        <v>10.58</v>
      </c>
      <c r="DH68" s="971">
        <v>15.47</v>
      </c>
      <c r="DI68" s="9">
        <v>144</v>
      </c>
      <c r="DJ68" s="9">
        <v>172</v>
      </c>
      <c r="DK68" s="962">
        <f t="shared" si="19"/>
        <v>0.45569620253164556</v>
      </c>
      <c r="DL68" s="967">
        <v>88</v>
      </c>
      <c r="DM68" s="967">
        <v>43</v>
      </c>
      <c r="DN68" s="9">
        <v>13</v>
      </c>
      <c r="DO68" s="9">
        <v>4</v>
      </c>
      <c r="DP68" s="9">
        <v>0.10200000000000001</v>
      </c>
      <c r="DQ68" s="9">
        <v>0</v>
      </c>
      <c r="DR68" s="9">
        <v>0</v>
      </c>
      <c r="DS68" s="9">
        <v>0</v>
      </c>
      <c r="DT68" s="9">
        <v>116</v>
      </c>
      <c r="DU68" s="973">
        <v>53</v>
      </c>
      <c r="DV68" s="9">
        <v>1</v>
      </c>
      <c r="DW68" s="9">
        <v>23</v>
      </c>
      <c r="DX68" s="9">
        <v>-0.19</v>
      </c>
      <c r="DY68" s="9">
        <v>0</v>
      </c>
      <c r="DZ68" s="9">
        <v>0</v>
      </c>
      <c r="EA68" s="9">
        <v>0</v>
      </c>
    </row>
    <row r="69" spans="1:131" ht="26.25" x14ac:dyDescent="0.25">
      <c r="A69" s="9" t="s">
        <v>390</v>
      </c>
      <c r="B69" s="9" t="s">
        <v>300</v>
      </c>
      <c r="C69" s="10" t="s">
        <v>397</v>
      </c>
      <c r="D69" s="959" t="s">
        <v>136</v>
      </c>
      <c r="E69" s="9" t="s">
        <v>137</v>
      </c>
      <c r="F69" s="9">
        <f>5/26</f>
        <v>0.19230769230769232</v>
      </c>
      <c r="G69" s="9" t="s">
        <v>456</v>
      </c>
      <c r="H69" s="9">
        <f>18/25</f>
        <v>0.72</v>
      </c>
      <c r="I69" s="9">
        <v>26</v>
      </c>
      <c r="J69" s="9">
        <v>2</v>
      </c>
      <c r="K69" s="9">
        <v>2</v>
      </c>
      <c r="L69" s="957">
        <f>J69+K69</f>
        <v>4</v>
      </c>
      <c r="M69" s="958">
        <f t="shared" si="0"/>
        <v>0.90960773166571907</v>
      </c>
      <c r="N69" s="959">
        <v>2</v>
      </c>
      <c r="O69" s="959">
        <v>2</v>
      </c>
      <c r="P69" s="959">
        <v>0</v>
      </c>
      <c r="Q69" s="959">
        <v>32</v>
      </c>
      <c r="R69" s="959">
        <v>15</v>
      </c>
      <c r="S69" s="959">
        <v>12</v>
      </c>
      <c r="T69" s="959">
        <v>38</v>
      </c>
      <c r="U69" s="960">
        <f>IF(Q69&gt;0,J69/Q69,0)</f>
        <v>6.25E-2</v>
      </c>
      <c r="V69" s="960">
        <f>IF(SUM(Q69:S69)&gt;0,J69/SUM(Q69:S69),0)</f>
        <v>3.3898305084745763E-2</v>
      </c>
      <c r="W69" s="961">
        <v>263.85000000000002</v>
      </c>
      <c r="X69" s="961">
        <f>W69/I69</f>
        <v>10.148076923076925</v>
      </c>
      <c r="Y69" s="961">
        <v>268.18</v>
      </c>
      <c r="Z69" s="961">
        <f>Y69/I69</f>
        <v>10.314615384615385</v>
      </c>
      <c r="AA69" s="961">
        <v>1050.08</v>
      </c>
      <c r="AB69" s="961">
        <f>AA69/I69</f>
        <v>40.387692307692305</v>
      </c>
      <c r="AC69" s="962">
        <f t="shared" si="1"/>
        <v>0.20343483076176172</v>
      </c>
      <c r="AD69" s="963">
        <f t="shared" si="2"/>
        <v>36.666666666666671</v>
      </c>
      <c r="AE69">
        <v>10</v>
      </c>
      <c r="AF69" s="959">
        <v>67</v>
      </c>
      <c r="AG69" s="959">
        <v>32</v>
      </c>
      <c r="AH69" s="959">
        <v>11</v>
      </c>
      <c r="AI69" s="959">
        <v>18</v>
      </c>
      <c r="AJ69" s="960">
        <f>IF(N69&gt;0,J69/BU69,0)</f>
        <v>0.33333333333333331</v>
      </c>
      <c r="AK69" s="960">
        <f t="shared" si="3"/>
        <v>0.33333333333333331</v>
      </c>
      <c r="AL69" s="960">
        <f t="shared" si="4"/>
        <v>0.66666666666666663</v>
      </c>
      <c r="AM69" s="959">
        <v>71</v>
      </c>
      <c r="AN69" s="962">
        <f t="shared" si="5"/>
        <v>0.26893939393939392</v>
      </c>
      <c r="AO69" s="959">
        <v>87</v>
      </c>
      <c r="AP69" s="962">
        <f t="shared" si="6"/>
        <v>0.32954545454545453</v>
      </c>
      <c r="AQ69" s="959">
        <v>106</v>
      </c>
      <c r="AR69" s="962">
        <f t="shared" si="7"/>
        <v>0.40151515151515149</v>
      </c>
      <c r="AS69" s="962">
        <f t="shared" si="8"/>
        <v>0.44936708860759494</v>
      </c>
      <c r="AT69" s="959">
        <v>7</v>
      </c>
      <c r="AU69" s="964">
        <v>-4.2699999999999996</v>
      </c>
      <c r="AV69" s="965">
        <v>97</v>
      </c>
      <c r="AW69" s="965">
        <v>99</v>
      </c>
      <c r="AX69" s="965">
        <v>73</v>
      </c>
      <c r="AY69" s="962">
        <f t="shared" si="9"/>
        <v>0.49489795918367346</v>
      </c>
      <c r="AZ69" s="966">
        <v>16.78</v>
      </c>
      <c r="BA69" s="967">
        <v>13</v>
      </c>
      <c r="BB69" s="965">
        <v>-0.314</v>
      </c>
      <c r="BC69" s="959">
        <v>12</v>
      </c>
      <c r="BD69" s="968">
        <v>-0.32100000000000001</v>
      </c>
      <c r="BE69" s="961">
        <v>50.13</v>
      </c>
      <c r="BF69" s="966">
        <v>17.04</v>
      </c>
      <c r="BG69" s="968">
        <v>-2.351</v>
      </c>
      <c r="BH69" s="968">
        <v>-13.076000000000001</v>
      </c>
      <c r="BI69" s="961">
        <v>45.51</v>
      </c>
      <c r="BJ69" s="962">
        <f t="shared" si="10"/>
        <v>5.4545454545454543E-2</v>
      </c>
      <c r="BK69" s="969">
        <f t="shared" si="11"/>
        <v>0.95867768595041325</v>
      </c>
      <c r="BL69" s="967">
        <f t="shared" si="12"/>
        <v>1013.2231404958677</v>
      </c>
      <c r="BM69" s="962">
        <f t="shared" si="13"/>
        <v>1.3223140495867793E-2</v>
      </c>
      <c r="BN69" s="966">
        <f>BU69/(Z69*I69)*60</f>
        <v>1.342381982250727</v>
      </c>
      <c r="BO69" s="966">
        <f>BV69/(Z69*I69)*60</f>
        <v>1.1186516518756058</v>
      </c>
      <c r="BP69" s="961">
        <f>(BU69+BW69)/(Z69*I69)*60</f>
        <v>24.610336341263331</v>
      </c>
      <c r="BQ69" s="961">
        <f>(BV69+BX69)/(Z69*I69)*60</f>
        <v>27.071369975389665</v>
      </c>
      <c r="BR69" s="961">
        <f>(BU69+BW69+BY69+CB69)/(Z69*I69)*60</f>
        <v>46.08844805727496</v>
      </c>
      <c r="BS69" s="961">
        <f>(BV69+BX69+BZ69+CA69)/(Z69*I69)*60</f>
        <v>57.051234245655905</v>
      </c>
      <c r="BT69" s="961">
        <f t="shared" si="14"/>
        <v>-10.962786188380946</v>
      </c>
      <c r="BU69" s="959">
        <v>6</v>
      </c>
      <c r="BV69" s="959">
        <v>5</v>
      </c>
      <c r="BW69" s="967">
        <v>104</v>
      </c>
      <c r="BX69" s="967">
        <v>116</v>
      </c>
      <c r="BY69" s="967">
        <v>47</v>
      </c>
      <c r="BZ69" s="967">
        <v>50</v>
      </c>
      <c r="CA69" s="967">
        <v>84</v>
      </c>
      <c r="CB69" s="967">
        <v>49</v>
      </c>
      <c r="CC69" s="959">
        <v>106</v>
      </c>
      <c r="CD69" s="959">
        <v>117</v>
      </c>
      <c r="CE69" s="962">
        <f t="shared" si="15"/>
        <v>0.47533632286995514</v>
      </c>
      <c r="CF69" s="964">
        <v>2.2999999999999998</v>
      </c>
      <c r="CG69" s="970">
        <f t="shared" si="16"/>
        <v>2.9174036850367742</v>
      </c>
      <c r="CH69" s="966">
        <f>CO69/(AB69*I69)*60</f>
        <v>2.5712326679872013</v>
      </c>
      <c r="CI69" s="966">
        <f>CP69/(AB69*I69)*60</f>
        <v>2.5140941642541526</v>
      </c>
      <c r="CJ69" s="966">
        <f>(CO69+CQ69)/(AB69*I69)*60</f>
        <v>27.140789273198234</v>
      </c>
      <c r="CK69" s="966">
        <f>(CP69+CR69)/(AB69*I69)*60</f>
        <v>30.911930519579464</v>
      </c>
      <c r="CL69" s="966">
        <f>(CO69+CQ69+CS69+CV69)/(AB69*I69)*60</f>
        <v>53.253085479201587</v>
      </c>
      <c r="CM69" s="966">
        <f>(CP69+CR69+CT69+CU69)/(AB69*I69)*60</f>
        <v>66.680633856468077</v>
      </c>
      <c r="CN69" s="961">
        <f t="shared" si="17"/>
        <v>2.464762188885544</v>
      </c>
      <c r="CO69" s="967">
        <v>45</v>
      </c>
      <c r="CP69" s="967">
        <v>44</v>
      </c>
      <c r="CQ69" s="967">
        <v>430</v>
      </c>
      <c r="CR69" s="967">
        <v>497</v>
      </c>
      <c r="CS69" s="967">
        <v>196</v>
      </c>
      <c r="CT69" s="967">
        <v>232</v>
      </c>
      <c r="CU69" s="967">
        <v>394</v>
      </c>
      <c r="CV69" s="967">
        <v>261</v>
      </c>
      <c r="CW69" s="959">
        <v>2</v>
      </c>
      <c r="CX69" s="959">
        <v>3</v>
      </c>
      <c r="CY69" s="967">
        <f t="shared" si="18"/>
        <v>1</v>
      </c>
      <c r="CZ69" s="966">
        <f>CW69/(X69*I69)*60</f>
        <v>0.45480386583285953</v>
      </c>
      <c r="DA69" s="966">
        <f>CX69/(X69*I69)*60</f>
        <v>0.68220579874928933</v>
      </c>
      <c r="DB69" s="966">
        <f>CY69/(X69*I69)*60</f>
        <v>0.22740193291642977</v>
      </c>
      <c r="DC69" s="9">
        <v>9</v>
      </c>
      <c r="DD69" s="9">
        <v>10</v>
      </c>
      <c r="DE69" s="971">
        <v>10.01</v>
      </c>
      <c r="DF69" s="971">
        <v>10.83</v>
      </c>
      <c r="DG69" s="971">
        <v>8.76</v>
      </c>
      <c r="DH69" s="971">
        <v>10.220000000000001</v>
      </c>
      <c r="DI69" s="9">
        <v>0</v>
      </c>
      <c r="DJ69" s="9">
        <v>0</v>
      </c>
      <c r="DK69" s="962" t="str">
        <f t="shared" si="19"/>
        <v xml:space="preserve"> </v>
      </c>
      <c r="DL69" s="967"/>
      <c r="DM69" s="967"/>
      <c r="DN69" s="959"/>
      <c r="DO69" s="959"/>
      <c r="DP69" s="959"/>
      <c r="DQ69" s="959"/>
      <c r="DR69" s="959"/>
      <c r="DS69" s="959"/>
      <c r="DT69" s="959"/>
      <c r="DU69" s="967"/>
      <c r="DV69" s="959"/>
      <c r="DW69" s="959"/>
      <c r="DX69" s="959"/>
      <c r="DY69" s="959"/>
      <c r="DZ69" s="959"/>
      <c r="EA69" s="9"/>
    </row>
    <row r="70" spans="1:131" ht="26.25" x14ac:dyDescent="0.25">
      <c r="A70" s="9" t="s">
        <v>398</v>
      </c>
      <c r="B70" s="9" t="s">
        <v>312</v>
      </c>
      <c r="C70" s="10" t="s">
        <v>399</v>
      </c>
      <c r="D70" s="9" t="s">
        <v>216</v>
      </c>
      <c r="E70" s="9" t="s">
        <v>137</v>
      </c>
      <c r="F70" s="9">
        <f>5/26</f>
        <v>0.19230769230769232</v>
      </c>
      <c r="G70" s="9" t="s">
        <v>456</v>
      </c>
      <c r="H70" s="9">
        <f>31/49</f>
        <v>0.63265306122448983</v>
      </c>
      <c r="I70" s="9">
        <v>26</v>
      </c>
      <c r="J70" s="9">
        <v>2</v>
      </c>
      <c r="K70" s="9">
        <v>3</v>
      </c>
      <c r="L70" s="957">
        <f>J70+K70</f>
        <v>5</v>
      </c>
      <c r="M70" s="958">
        <f t="shared" si="0"/>
        <v>0.92459420587621488</v>
      </c>
      <c r="N70" s="959">
        <v>2</v>
      </c>
      <c r="O70" s="959">
        <v>1</v>
      </c>
      <c r="P70" s="959">
        <v>2</v>
      </c>
      <c r="Q70" s="959">
        <v>43</v>
      </c>
      <c r="R70" s="959">
        <v>9</v>
      </c>
      <c r="S70" s="959">
        <v>9</v>
      </c>
      <c r="T70" s="959">
        <v>44</v>
      </c>
      <c r="U70" s="960">
        <f>IF(Q70&gt;0,J70/Q70,0)</f>
        <v>4.6511627906976744E-2</v>
      </c>
      <c r="V70" s="960">
        <f>IF(SUM(Q70:S70)&gt;0,J70/SUM(Q70:S70),0)</f>
        <v>3.2786885245901641E-2</v>
      </c>
      <c r="W70" s="961">
        <v>324.46666666670001</v>
      </c>
      <c r="X70" s="961">
        <f>W70/I70</f>
        <v>12.479487179488462</v>
      </c>
      <c r="Y70" s="961">
        <v>317.70999999999998</v>
      </c>
      <c r="Z70" s="961">
        <f>Y70/I70</f>
        <v>12.219615384615384</v>
      </c>
      <c r="AA70" s="961">
        <v>957.37</v>
      </c>
      <c r="AB70" s="961">
        <f>AA70/I70</f>
        <v>36.821923076923078</v>
      </c>
      <c r="AC70" s="962">
        <f t="shared" si="1"/>
        <v>0.24916867961225958</v>
      </c>
      <c r="AD70" s="963">
        <f t="shared" si="2"/>
        <v>23.142857142857146</v>
      </c>
      <c r="AE70">
        <v>6</v>
      </c>
      <c r="AF70" s="959">
        <v>58</v>
      </c>
      <c r="AG70" s="959">
        <v>42</v>
      </c>
      <c r="AH70" s="959">
        <v>7</v>
      </c>
      <c r="AI70" s="959">
        <v>6</v>
      </c>
      <c r="AJ70" s="960">
        <f>IF(N70&gt;0,J70/BU70,0)</f>
        <v>0.2857142857142857</v>
      </c>
      <c r="AK70" s="960">
        <f t="shared" si="3"/>
        <v>0.42857142857142855</v>
      </c>
      <c r="AL70" s="960">
        <f t="shared" si="4"/>
        <v>0.71428571428571419</v>
      </c>
      <c r="AM70" s="959">
        <v>107</v>
      </c>
      <c r="AN70" s="962">
        <f t="shared" si="5"/>
        <v>0.36896551724137933</v>
      </c>
      <c r="AO70" s="959">
        <v>81</v>
      </c>
      <c r="AP70" s="962">
        <f t="shared" si="6"/>
        <v>0.27931034482758621</v>
      </c>
      <c r="AQ70" s="959">
        <v>102</v>
      </c>
      <c r="AR70" s="962">
        <f t="shared" si="7"/>
        <v>0.35172413793103446</v>
      </c>
      <c r="AS70" s="962">
        <f t="shared" si="8"/>
        <v>0.56914893617021278</v>
      </c>
      <c r="AT70" s="959">
        <v>12</v>
      </c>
      <c r="AU70" s="964">
        <v>11.62</v>
      </c>
      <c r="AV70" s="965">
        <v>119</v>
      </c>
      <c r="AW70" s="965">
        <v>117</v>
      </c>
      <c r="AX70" s="965">
        <v>96</v>
      </c>
      <c r="AY70" s="962">
        <f t="shared" si="9"/>
        <v>0.50423728813559321</v>
      </c>
      <c r="AZ70" s="966">
        <v>17.079999999999998</v>
      </c>
      <c r="BA70" s="967">
        <v>11</v>
      </c>
      <c r="BB70" s="965">
        <v>-0.78</v>
      </c>
      <c r="BC70" s="959">
        <v>13</v>
      </c>
      <c r="BD70" s="968">
        <v>0.10200000000000001</v>
      </c>
      <c r="BE70" s="961">
        <v>50.02</v>
      </c>
      <c r="BF70" s="966">
        <v>17.47</v>
      </c>
      <c r="BG70" s="968">
        <v>4.3999999999999997E-2</v>
      </c>
      <c r="BH70" s="968">
        <v>-2.5390000000000001</v>
      </c>
      <c r="BI70" s="961">
        <v>49.04</v>
      </c>
      <c r="BJ70" s="962">
        <f t="shared" si="10"/>
        <v>4.3209876543209874E-2</v>
      </c>
      <c r="BK70" s="969">
        <f t="shared" si="11"/>
        <v>0.89506172839506171</v>
      </c>
      <c r="BL70" s="967">
        <f t="shared" si="12"/>
        <v>938.27160493827159</v>
      </c>
      <c r="BM70" s="962">
        <f t="shared" si="13"/>
        <v>-6.1728395061728419E-2</v>
      </c>
      <c r="BN70" s="966">
        <f>BU70/(Z70*I70)*60</f>
        <v>1.3219602782411635</v>
      </c>
      <c r="BO70" s="966">
        <f>BV70/(Z70*I70)*60</f>
        <v>3.2104749614428254</v>
      </c>
      <c r="BP70" s="961">
        <f>(BU70+BW70)/(Z70*I70)*60</f>
        <v>30.593937867866924</v>
      </c>
      <c r="BQ70" s="961">
        <f>(BV70+BX70)/(Z70*I70)*60</f>
        <v>30.593937867866924</v>
      </c>
      <c r="BR70" s="961">
        <f>(BU70+BW70+BY70+CB70)/(Z70*I70)*60</f>
        <v>51.934153788045705</v>
      </c>
      <c r="BS70" s="961">
        <f>(BV70+BX70+BZ70+CA70)/(Z70*I70)*60</f>
        <v>54.7669258128482</v>
      </c>
      <c r="BT70" s="961">
        <f t="shared" si="14"/>
        <v>-2.8327720248024946</v>
      </c>
      <c r="BU70" s="959">
        <v>7</v>
      </c>
      <c r="BV70" s="959">
        <v>17</v>
      </c>
      <c r="BW70" s="967">
        <v>155</v>
      </c>
      <c r="BX70" s="967">
        <v>145</v>
      </c>
      <c r="BY70" s="967">
        <v>54</v>
      </c>
      <c r="BZ70" s="967">
        <v>52</v>
      </c>
      <c r="CA70" s="967">
        <v>76</v>
      </c>
      <c r="CB70" s="967">
        <v>59</v>
      </c>
      <c r="CC70" s="959">
        <v>135</v>
      </c>
      <c r="CD70" s="959">
        <v>133</v>
      </c>
      <c r="CE70" s="962">
        <f t="shared" si="15"/>
        <v>0.50373134328358204</v>
      </c>
      <c r="CF70" s="964">
        <v>2.99</v>
      </c>
      <c r="CG70" s="970">
        <f t="shared" si="16"/>
        <v>-1.9413464928876021</v>
      </c>
      <c r="CH70" s="966">
        <f>CO70/(AB70*I70)*60</f>
        <v>1.5667923582314047</v>
      </c>
      <c r="CI70" s="966">
        <f>CP70/(AB70*I70)*60</f>
        <v>3.0709130221335532</v>
      </c>
      <c r="CJ70" s="966">
        <f>(CO70+CQ70)/(AB70*I70)*60</f>
        <v>28.766307697128592</v>
      </c>
      <c r="CK70" s="966">
        <f>(CP70+CR70)/(AB70*I70)*60</f>
        <v>31.523862247615867</v>
      </c>
      <c r="CL70" s="966">
        <f>(CO70+CQ70+CS70+CV70)/(AB70*I70)*60</f>
        <v>54.6497174551114</v>
      </c>
      <c r="CM70" s="966">
        <f>(CP70+CR70+CT70+CU70)/(AB70*I70)*60</f>
        <v>59.851468084439666</v>
      </c>
      <c r="CN70" s="961">
        <f t="shared" si="17"/>
        <v>2.3689786045257719</v>
      </c>
      <c r="CO70" s="967">
        <v>25</v>
      </c>
      <c r="CP70" s="967">
        <v>49</v>
      </c>
      <c r="CQ70" s="967">
        <v>434</v>
      </c>
      <c r="CR70" s="967">
        <v>454</v>
      </c>
      <c r="CS70" s="967">
        <v>184</v>
      </c>
      <c r="CT70" s="967">
        <v>197</v>
      </c>
      <c r="CU70" s="967">
        <v>255</v>
      </c>
      <c r="CV70" s="967">
        <v>229</v>
      </c>
      <c r="CW70" s="959">
        <v>3</v>
      </c>
      <c r="CX70" s="959">
        <v>3</v>
      </c>
      <c r="CY70" s="967">
        <f t="shared" si="18"/>
        <v>0</v>
      </c>
      <c r="CZ70" s="966">
        <f>CW70/(X70*I70)*60</f>
        <v>0.55475652352572891</v>
      </c>
      <c r="DA70" s="966">
        <f>CX70/(X70*I70)*60</f>
        <v>0.55475652352572891</v>
      </c>
      <c r="DB70" s="966">
        <f>CY70/(X70*I70)*60</f>
        <v>0</v>
      </c>
      <c r="DC70" s="9">
        <v>11</v>
      </c>
      <c r="DD70" s="9">
        <v>12</v>
      </c>
      <c r="DE70" s="971">
        <v>8.25</v>
      </c>
      <c r="DF70" s="971">
        <v>13.31</v>
      </c>
      <c r="DG70" s="971">
        <v>10.65</v>
      </c>
      <c r="DH70" s="971">
        <v>12.99</v>
      </c>
      <c r="DI70" s="9">
        <v>0</v>
      </c>
      <c r="DJ70" s="9">
        <v>2</v>
      </c>
      <c r="DK70" s="962">
        <f t="shared" si="19"/>
        <v>0</v>
      </c>
      <c r="DL70" s="967">
        <v>2</v>
      </c>
      <c r="DM70" s="967">
        <v>0</v>
      </c>
      <c r="DN70" s="9">
        <v>0</v>
      </c>
      <c r="DO70" s="9">
        <v>0</v>
      </c>
      <c r="DP70" s="9">
        <v>0</v>
      </c>
      <c r="DQ70" s="9">
        <v>0</v>
      </c>
      <c r="DR70" s="9">
        <v>0</v>
      </c>
      <c r="DS70" s="9">
        <v>0</v>
      </c>
      <c r="DT70" s="959"/>
      <c r="DU70" s="967"/>
      <c r="DV70" s="959"/>
      <c r="DW70" s="959"/>
      <c r="DX70" s="959"/>
      <c r="DY70" s="959"/>
      <c r="DZ70" s="959"/>
      <c r="EA70" s="9"/>
    </row>
    <row r="71" spans="1:131" ht="26.25" x14ac:dyDescent="0.25">
      <c r="A71" s="9" t="s">
        <v>400</v>
      </c>
      <c r="B71" s="9" t="s">
        <v>344</v>
      </c>
      <c r="C71" s="10" t="s">
        <v>401</v>
      </c>
      <c r="D71" s="959" t="s">
        <v>185</v>
      </c>
      <c r="E71" s="9" t="s">
        <v>160</v>
      </c>
      <c r="F71" s="9">
        <f>5/27</f>
        <v>0.18518518518518517</v>
      </c>
      <c r="G71" s="9" t="s">
        <v>456</v>
      </c>
      <c r="H71" s="9">
        <f>13/40</f>
        <v>0.32500000000000001</v>
      </c>
      <c r="I71" s="9">
        <v>27</v>
      </c>
      <c r="J71" s="9">
        <v>1</v>
      </c>
      <c r="K71" s="9">
        <v>4</v>
      </c>
      <c r="L71" s="957">
        <f>J71+K71</f>
        <v>5</v>
      </c>
      <c r="M71" s="958">
        <f t="shared" si="0"/>
        <v>0.74454003970886373</v>
      </c>
      <c r="N71" s="959">
        <v>1</v>
      </c>
      <c r="O71" s="959">
        <v>0</v>
      </c>
      <c r="P71" s="959">
        <v>4</v>
      </c>
      <c r="Q71" s="959">
        <v>41</v>
      </c>
      <c r="R71" s="959">
        <v>16</v>
      </c>
      <c r="S71" s="959">
        <v>28</v>
      </c>
      <c r="T71" s="959">
        <v>19</v>
      </c>
      <c r="U71" s="960">
        <f>IF(Q71&gt;0,J71/Q71,0)</f>
        <v>2.4390243902439025E-2</v>
      </c>
      <c r="V71" s="960">
        <f>IF(SUM(Q71:S71)&gt;0,J71/SUM(Q71:S71),0)</f>
        <v>1.1764705882352941E-2</v>
      </c>
      <c r="W71" s="961">
        <v>402.93333333330003</v>
      </c>
      <c r="X71" s="961">
        <f>W71/I71</f>
        <v>14.923456790122223</v>
      </c>
      <c r="Y71" s="961">
        <v>398.15</v>
      </c>
      <c r="Z71" s="961">
        <f>Y71/I71</f>
        <v>14.746296296296295</v>
      </c>
      <c r="AA71" s="961">
        <v>949.87</v>
      </c>
      <c r="AB71" s="961">
        <f>AA71/I71</f>
        <v>35.180370370370369</v>
      </c>
      <c r="AC71" s="962">
        <f t="shared" si="1"/>
        <v>0.29535911930090059</v>
      </c>
      <c r="AD71" s="963">
        <f t="shared" si="2"/>
        <v>0</v>
      </c>
      <c r="AE71">
        <v>28</v>
      </c>
      <c r="AF71" s="959">
        <v>41</v>
      </c>
      <c r="AG71" s="959">
        <v>63</v>
      </c>
      <c r="AH71" s="959">
        <v>6</v>
      </c>
      <c r="AI71" s="959">
        <v>2</v>
      </c>
      <c r="AJ71" s="960">
        <f>IF(N71&gt;0,J71/BU71,0)</f>
        <v>7.1428571428571425E-2</v>
      </c>
      <c r="AK71" s="960">
        <f t="shared" si="3"/>
        <v>0.2857142857142857</v>
      </c>
      <c r="AL71" s="960">
        <f t="shared" si="4"/>
        <v>0.3571428571428571</v>
      </c>
      <c r="AM71" s="959">
        <v>147</v>
      </c>
      <c r="AN71" s="962">
        <f t="shared" si="5"/>
        <v>0.38481675392670156</v>
      </c>
      <c r="AO71" s="959">
        <v>106</v>
      </c>
      <c r="AP71" s="962">
        <f t="shared" si="6"/>
        <v>0.27748691099476441</v>
      </c>
      <c r="AQ71" s="959">
        <v>129</v>
      </c>
      <c r="AR71" s="962">
        <f t="shared" si="7"/>
        <v>0.33769633507853403</v>
      </c>
      <c r="AS71" s="962">
        <f t="shared" si="8"/>
        <v>0.5810276679841897</v>
      </c>
      <c r="AT71" s="959">
        <v>7</v>
      </c>
      <c r="AU71" s="964">
        <v>14.94</v>
      </c>
      <c r="AV71" s="965">
        <v>150</v>
      </c>
      <c r="AW71" s="965">
        <v>130</v>
      </c>
      <c r="AX71" s="965">
        <v>126</v>
      </c>
      <c r="AY71" s="962">
        <f t="shared" si="9"/>
        <v>0.5357142857142857</v>
      </c>
      <c r="AZ71" s="966">
        <v>17.18</v>
      </c>
      <c r="BA71" s="967">
        <v>5</v>
      </c>
      <c r="BB71" s="965">
        <v>5.7000000000000002E-2</v>
      </c>
      <c r="BC71" s="959">
        <v>6</v>
      </c>
      <c r="BD71" s="968">
        <v>0.255</v>
      </c>
      <c r="BE71" s="961">
        <v>50.33</v>
      </c>
      <c r="BF71" s="966">
        <v>16.78</v>
      </c>
      <c r="BG71" s="968">
        <v>0.89600000000000002</v>
      </c>
      <c r="BH71" s="968">
        <v>4.1399999999999997</v>
      </c>
      <c r="BI71" s="961">
        <v>52.15</v>
      </c>
      <c r="BJ71" s="962">
        <f t="shared" si="10"/>
        <v>7.1428571428571425E-2</v>
      </c>
      <c r="BK71" s="969">
        <f t="shared" si="11"/>
        <v>0.91954022988505746</v>
      </c>
      <c r="BL71" s="967">
        <f t="shared" si="12"/>
        <v>990.96880131362889</v>
      </c>
      <c r="BM71" s="962">
        <f t="shared" si="13"/>
        <v>-9.0311986863711169E-3</v>
      </c>
      <c r="BN71" s="966">
        <f>BU71/(Z71*I71)*60</f>
        <v>2.1097576290342839</v>
      </c>
      <c r="BO71" s="966">
        <f>BV71/(Z71*I71)*60</f>
        <v>2.1097576290342839</v>
      </c>
      <c r="BP71" s="961">
        <f>(BU71+BW71)/(Z71*I71)*60</f>
        <v>29.53660680647997</v>
      </c>
      <c r="BQ71" s="961">
        <f>(BV71+BX71)/(Z71*I71)*60</f>
        <v>26.221273389426099</v>
      </c>
      <c r="BR71" s="961">
        <f>(BU71+BW71+BY71+CB71)/(Z71*I71)*60</f>
        <v>56.812759010423207</v>
      </c>
      <c r="BS71" s="961">
        <f>(BV71+BX71+BZ71+CA71)/(Z71*I71)*60</f>
        <v>50.031395202813016</v>
      </c>
      <c r="BT71" s="961">
        <f t="shared" si="14"/>
        <v>6.781363807610191</v>
      </c>
      <c r="BU71" s="959">
        <v>14</v>
      </c>
      <c r="BV71" s="959">
        <v>14</v>
      </c>
      <c r="BW71" s="967">
        <v>182</v>
      </c>
      <c r="BX71" s="967">
        <v>160</v>
      </c>
      <c r="BY71" s="967">
        <v>80</v>
      </c>
      <c r="BZ71" s="967">
        <v>73</v>
      </c>
      <c r="CA71" s="967">
        <v>85</v>
      </c>
      <c r="CB71" s="967">
        <v>101</v>
      </c>
      <c r="CC71" s="959">
        <v>181</v>
      </c>
      <c r="CD71" s="959">
        <v>141</v>
      </c>
      <c r="CE71" s="962">
        <f t="shared" si="15"/>
        <v>0.56211180124223603</v>
      </c>
      <c r="CF71" s="964">
        <v>6.9</v>
      </c>
      <c r="CG71" s="970">
        <f t="shared" si="16"/>
        <v>0.86169977598963854</v>
      </c>
      <c r="CH71" s="966">
        <f>CO71/(AB71*I71)*60</f>
        <v>2.2739953888426836</v>
      </c>
      <c r="CI71" s="966">
        <f>CP71/(AB71*I71)*60</f>
        <v>2.5266615431585375</v>
      </c>
      <c r="CJ71" s="966">
        <f>(CO71+CQ71)/(AB71*I71)*60</f>
        <v>28.614441976270438</v>
      </c>
      <c r="CK71" s="966">
        <f>(CP71+CR71)/(AB71*I71)*60</f>
        <v>31.01477044227105</v>
      </c>
      <c r="CL71" s="966">
        <f>(CO71+CQ71+CS71+CV71)/(AB71*I71)*60</f>
        <v>55.144388179435076</v>
      </c>
      <c r="CM71" s="966">
        <f>(CP71+CR71+CT71+CU71)/(AB71*I71)*60</f>
        <v>55.333887795171975</v>
      </c>
      <c r="CN71" s="961">
        <f t="shared" si="17"/>
        <v>6.9708634233470903</v>
      </c>
      <c r="CO71" s="967">
        <v>36</v>
      </c>
      <c r="CP71" s="967">
        <v>40</v>
      </c>
      <c r="CQ71" s="967">
        <v>417</v>
      </c>
      <c r="CR71" s="967">
        <v>451</v>
      </c>
      <c r="CS71" s="967">
        <v>181</v>
      </c>
      <c r="CT71" s="967">
        <v>181</v>
      </c>
      <c r="CU71" s="967">
        <v>204</v>
      </c>
      <c r="CV71" s="967">
        <v>239</v>
      </c>
      <c r="CW71" s="959">
        <v>0</v>
      </c>
      <c r="CX71" s="959">
        <v>0</v>
      </c>
      <c r="CY71" s="967">
        <f t="shared" si="18"/>
        <v>0</v>
      </c>
      <c r="CZ71" s="966">
        <f>CW71/(X71*I71)*60</f>
        <v>0</v>
      </c>
      <c r="DA71" s="966">
        <f>CX71/(X71*I71)*60</f>
        <v>0</v>
      </c>
      <c r="DB71" s="966">
        <f>CY71/(X71*I71)*60</f>
        <v>0</v>
      </c>
      <c r="DC71" s="9">
        <v>14</v>
      </c>
      <c r="DD71" s="9">
        <v>11</v>
      </c>
      <c r="DE71" s="971">
        <v>13.77</v>
      </c>
      <c r="DF71" s="971">
        <v>13.84</v>
      </c>
      <c r="DG71" s="971">
        <v>14.36</v>
      </c>
      <c r="DH71" s="971">
        <v>14.1</v>
      </c>
      <c r="DI71" s="959"/>
      <c r="DJ71" s="959"/>
      <c r="DK71" s="962" t="str">
        <f t="shared" si="19"/>
        <v xml:space="preserve"> </v>
      </c>
      <c r="DL71" s="967"/>
      <c r="DM71" s="967"/>
      <c r="DN71" s="959"/>
      <c r="DO71" s="959"/>
      <c r="DP71" s="959"/>
      <c r="DQ71" s="959"/>
      <c r="DR71" s="959"/>
      <c r="DS71" s="959"/>
      <c r="DT71" s="959"/>
      <c r="DU71" s="967"/>
      <c r="DV71" s="959"/>
      <c r="DW71" s="959"/>
      <c r="DX71" s="959"/>
      <c r="DY71" s="959"/>
      <c r="DZ71" s="959"/>
      <c r="EA71" s="9"/>
    </row>
    <row r="72" spans="1:131" ht="26.25" x14ac:dyDescent="0.25">
      <c r="A72" s="9" t="s">
        <v>390</v>
      </c>
      <c r="B72" s="9" t="s">
        <v>290</v>
      </c>
      <c r="C72" s="10" t="s">
        <v>402</v>
      </c>
      <c r="D72" s="959" t="s">
        <v>221</v>
      </c>
      <c r="E72" s="9" t="s">
        <v>155</v>
      </c>
      <c r="F72" s="9">
        <f>5/33</f>
        <v>0.15151515151515152</v>
      </c>
      <c r="G72" s="9" t="s">
        <v>456</v>
      </c>
      <c r="H72" s="9">
        <f>45/55</f>
        <v>0.81818181818181823</v>
      </c>
      <c r="I72" s="9">
        <v>33</v>
      </c>
      <c r="J72" s="9">
        <v>1</v>
      </c>
      <c r="K72" s="9">
        <v>4</v>
      </c>
      <c r="L72" s="957">
        <f>J72+K72</f>
        <v>5</v>
      </c>
      <c r="M72" s="958">
        <f t="shared" si="0"/>
        <v>0.99080750811922624</v>
      </c>
      <c r="N72" s="959">
        <v>1</v>
      </c>
      <c r="O72" s="959">
        <v>2</v>
      </c>
      <c r="P72" s="959">
        <v>2</v>
      </c>
      <c r="Q72" s="959">
        <v>22</v>
      </c>
      <c r="R72" s="959">
        <v>12</v>
      </c>
      <c r="S72" s="959">
        <v>5</v>
      </c>
      <c r="T72" s="959">
        <v>23</v>
      </c>
      <c r="U72" s="960">
        <f>IF(Q72&gt;0,J72/Q72,0)</f>
        <v>4.5454545454545456E-2</v>
      </c>
      <c r="V72" s="960">
        <f>IF(SUM(Q72:S72)&gt;0,J72/SUM(Q72:S72),0)</f>
        <v>2.564102564102564E-2</v>
      </c>
      <c r="W72" s="961">
        <v>302.78333333329999</v>
      </c>
      <c r="X72" s="961">
        <f>W72/I72</f>
        <v>9.1752525252515156</v>
      </c>
      <c r="Y72" s="961">
        <v>295.18</v>
      </c>
      <c r="Z72" s="961">
        <f>Y72/I72</f>
        <v>8.9448484848484853</v>
      </c>
      <c r="AA72" s="961">
        <v>1226.18</v>
      </c>
      <c r="AB72" s="961">
        <f>AA72/I72</f>
        <v>37.156969696969696</v>
      </c>
      <c r="AC72" s="962">
        <f t="shared" si="1"/>
        <v>0.19402376820739339</v>
      </c>
      <c r="AD72" s="963">
        <f t="shared" si="2"/>
        <v>41.2</v>
      </c>
      <c r="AE72">
        <v>13</v>
      </c>
      <c r="AF72" s="959">
        <v>58</v>
      </c>
      <c r="AG72" s="959">
        <v>27</v>
      </c>
      <c r="AH72" s="959">
        <v>3</v>
      </c>
      <c r="AI72" s="959">
        <v>3</v>
      </c>
      <c r="AJ72" s="960">
        <f>IF(N72&gt;0,J72/BU72,0)</f>
        <v>0.2</v>
      </c>
      <c r="AK72" s="960">
        <f t="shared" si="3"/>
        <v>0.8</v>
      </c>
      <c r="AL72" s="960">
        <f t="shared" si="4"/>
        <v>1</v>
      </c>
      <c r="AM72" s="959">
        <v>78</v>
      </c>
      <c r="AN72" s="962">
        <f t="shared" si="5"/>
        <v>0.27464788732394368</v>
      </c>
      <c r="AO72" s="959">
        <v>103</v>
      </c>
      <c r="AP72" s="962">
        <f t="shared" si="6"/>
        <v>0.36267605633802819</v>
      </c>
      <c r="AQ72" s="959">
        <v>103</v>
      </c>
      <c r="AR72" s="962">
        <f t="shared" si="7"/>
        <v>0.36267605633802819</v>
      </c>
      <c r="AS72" s="962">
        <f t="shared" si="8"/>
        <v>0.43093922651933703</v>
      </c>
      <c r="AT72" s="959">
        <v>3</v>
      </c>
      <c r="AU72" s="964">
        <v>-5.9</v>
      </c>
      <c r="AV72" s="965">
        <v>110</v>
      </c>
      <c r="AW72" s="965">
        <v>129</v>
      </c>
      <c r="AX72" s="965">
        <v>84</v>
      </c>
      <c r="AY72" s="962">
        <f t="shared" si="9"/>
        <v>0.46025104602510458</v>
      </c>
      <c r="AZ72" s="966">
        <v>16.7</v>
      </c>
      <c r="BA72" s="967">
        <v>19</v>
      </c>
      <c r="BB72" s="965">
        <v>-1.238</v>
      </c>
      <c r="BC72" s="959">
        <v>18</v>
      </c>
      <c r="BD72" s="968">
        <v>-0.248</v>
      </c>
      <c r="BE72" s="961">
        <v>49.7</v>
      </c>
      <c r="BF72" s="966">
        <v>16.059999999999999</v>
      </c>
      <c r="BG72" s="968">
        <v>-5.9560000000000004</v>
      </c>
      <c r="BH72" s="968">
        <v>-10.227</v>
      </c>
      <c r="BI72" s="961">
        <v>46.73</v>
      </c>
      <c r="BJ72" s="962">
        <f t="shared" si="10"/>
        <v>4.8543689320388349E-2</v>
      </c>
      <c r="BK72" s="969">
        <f t="shared" si="11"/>
        <v>0.92307692307692313</v>
      </c>
      <c r="BL72" s="967">
        <f t="shared" si="12"/>
        <v>971.62061239731145</v>
      </c>
      <c r="BM72" s="962">
        <f t="shared" si="13"/>
        <v>-2.8379387602688523E-2</v>
      </c>
      <c r="BN72" s="966">
        <f>BU72/(Z72*I72)*60</f>
        <v>1.0163290195812724</v>
      </c>
      <c r="BO72" s="966">
        <f>BV72/(Z72*I72)*60</f>
        <v>2.6424554509113083</v>
      </c>
      <c r="BP72" s="961">
        <f>(BU72+BW72)/(Z72*I72)*60</f>
        <v>20.93637780337421</v>
      </c>
      <c r="BQ72" s="961">
        <f>(BV72+BX72)/(Z72*I72)*60</f>
        <v>34.351920861847006</v>
      </c>
      <c r="BR72" s="961">
        <f>(BU72+BW72+BY72+CB72)/(Z72*I72)*60</f>
        <v>36.587844704925807</v>
      </c>
      <c r="BS72" s="961">
        <f>(BV72+BX72+BZ72+CA72)/(Z72*I72)*60</f>
        <v>62.809133410122634</v>
      </c>
      <c r="BT72" s="961">
        <f t="shared" si="14"/>
        <v>-26.221288705196827</v>
      </c>
      <c r="BU72" s="959">
        <v>5</v>
      </c>
      <c r="BV72" s="959">
        <v>13</v>
      </c>
      <c r="BW72" s="967">
        <v>98</v>
      </c>
      <c r="BX72" s="967">
        <v>156</v>
      </c>
      <c r="BY72" s="967">
        <v>40</v>
      </c>
      <c r="BZ72" s="967">
        <v>57</v>
      </c>
      <c r="CA72" s="967">
        <v>83</v>
      </c>
      <c r="CB72" s="967">
        <v>37</v>
      </c>
      <c r="CC72" s="959">
        <v>77</v>
      </c>
      <c r="CD72" s="959">
        <v>143</v>
      </c>
      <c r="CE72" s="962">
        <f t="shared" si="15"/>
        <v>0.35</v>
      </c>
      <c r="CF72" s="964">
        <v>-15</v>
      </c>
      <c r="CG72" s="970">
        <f t="shared" si="16"/>
        <v>-14.674830141660916</v>
      </c>
      <c r="CH72" s="966">
        <f>CO72/(AB72*I72)*60</f>
        <v>2.2508930173384005</v>
      </c>
      <c r="CI72" s="966">
        <f>CP72/(AB72*I72)*60</f>
        <v>2.887014957020992</v>
      </c>
      <c r="CJ72" s="966">
        <f>(CO72+CQ72)/(AB72*I72)*60</f>
        <v>29.359474139196529</v>
      </c>
      <c r="CK72" s="966">
        <f>(CP72+CR72)/(AB72*I72)*60</f>
        <v>31.806096984129567</v>
      </c>
      <c r="CL72" s="966">
        <f>(CO72+CQ72+CS72+CV72)/(AB72*I72)*60</f>
        <v>52.895985907452406</v>
      </c>
      <c r="CM72" s="966">
        <f>(CP72+CR72+CT72+CU72)/(AB72*I72)*60</f>
        <v>57.299907028331887</v>
      </c>
      <c r="CN72" s="961">
        <f t="shared" si="17"/>
        <v>-21.817367584317346</v>
      </c>
      <c r="CO72" s="967">
        <v>46</v>
      </c>
      <c r="CP72" s="967">
        <v>59</v>
      </c>
      <c r="CQ72" s="967">
        <v>554</v>
      </c>
      <c r="CR72" s="967">
        <v>591</v>
      </c>
      <c r="CS72" s="967">
        <v>212</v>
      </c>
      <c r="CT72" s="967">
        <v>246</v>
      </c>
      <c r="CU72" s="967">
        <v>275</v>
      </c>
      <c r="CV72" s="967">
        <v>269</v>
      </c>
      <c r="CW72" s="959">
        <v>5</v>
      </c>
      <c r="CX72" s="959">
        <v>2</v>
      </c>
      <c r="CY72" s="967">
        <f t="shared" si="18"/>
        <v>-3</v>
      </c>
      <c r="CZ72" s="966">
        <f>CW72/(X72*I72)*60</f>
        <v>0.99080750811922624</v>
      </c>
      <c r="DA72" s="966">
        <f>CX72/(X72*I72)*60</f>
        <v>0.39632300324769043</v>
      </c>
      <c r="DB72" s="966">
        <f>CY72/(X72*I72)*60</f>
        <v>-0.5944845048715357</v>
      </c>
      <c r="DC72" s="9">
        <v>6</v>
      </c>
      <c r="DD72" s="9">
        <v>12</v>
      </c>
      <c r="DE72" s="971">
        <v>9.19</v>
      </c>
      <c r="DF72" s="971">
        <v>12.79</v>
      </c>
      <c r="DG72" s="971">
        <v>9.89</v>
      </c>
      <c r="DH72" s="971">
        <v>12.29</v>
      </c>
      <c r="DI72" s="9">
        <v>133</v>
      </c>
      <c r="DJ72" s="9">
        <v>141</v>
      </c>
      <c r="DK72" s="962">
        <f t="shared" si="19"/>
        <v>0.48540145985401462</v>
      </c>
      <c r="DL72" s="967">
        <v>72</v>
      </c>
      <c r="DM72" s="967">
        <v>26</v>
      </c>
      <c r="DN72" s="9">
        <v>5</v>
      </c>
      <c r="DO72" s="9">
        <v>2</v>
      </c>
      <c r="DP72" s="9">
        <v>4.2000000000000003E-2</v>
      </c>
      <c r="DQ72" s="9">
        <v>0</v>
      </c>
      <c r="DR72" s="9">
        <v>1</v>
      </c>
      <c r="DS72" s="9">
        <v>-1.4E-2</v>
      </c>
      <c r="DT72" s="9">
        <v>105</v>
      </c>
      <c r="DU72" s="973">
        <v>54</v>
      </c>
      <c r="DV72" s="9">
        <v>2</v>
      </c>
      <c r="DW72" s="9">
        <v>10</v>
      </c>
      <c r="DX72" s="9">
        <v>-7.5999999999999998E-2</v>
      </c>
      <c r="DY72" s="9">
        <v>0</v>
      </c>
      <c r="DZ72" s="9">
        <v>0</v>
      </c>
      <c r="EA72" s="9">
        <v>0</v>
      </c>
    </row>
    <row r="73" spans="1:131" ht="26.25" x14ac:dyDescent="0.25">
      <c r="A73" s="9" t="s">
        <v>403</v>
      </c>
      <c r="B73" s="9" t="s">
        <v>309</v>
      </c>
      <c r="C73" s="10" t="s">
        <v>404</v>
      </c>
      <c r="D73" s="959" t="s">
        <v>405</v>
      </c>
      <c r="E73" s="9" t="s">
        <v>132</v>
      </c>
      <c r="F73" s="9">
        <f>4/20</f>
        <v>0.2</v>
      </c>
      <c r="G73" s="9" t="s">
        <v>456</v>
      </c>
      <c r="H73" s="9">
        <f>17/32</f>
        <v>0.53125</v>
      </c>
      <c r="I73" s="9">
        <v>20</v>
      </c>
      <c r="J73" s="9">
        <v>2</v>
      </c>
      <c r="K73" s="9">
        <v>2</v>
      </c>
      <c r="L73" s="957">
        <f>J73+K73</f>
        <v>4</v>
      </c>
      <c r="M73" s="958">
        <f t="shared" si="0"/>
        <v>1.6168874915790741</v>
      </c>
      <c r="N73" s="959">
        <v>2</v>
      </c>
      <c r="O73" s="959">
        <v>1</v>
      </c>
      <c r="P73" s="959">
        <v>1</v>
      </c>
      <c r="Q73" s="959">
        <v>7</v>
      </c>
      <c r="R73" s="959">
        <v>0</v>
      </c>
      <c r="S73" s="959">
        <v>8</v>
      </c>
      <c r="T73" s="959">
        <v>10</v>
      </c>
      <c r="U73" s="960">
        <f>IF(Q73&gt;0,J73/Q73,0)</f>
        <v>0.2857142857142857</v>
      </c>
      <c r="V73" s="960">
        <f>IF(SUM(Q73:S73)&gt;0,J73/SUM(Q73:S73),0)</f>
        <v>0.13333333333333333</v>
      </c>
      <c r="W73" s="961">
        <v>148.4333333333</v>
      </c>
      <c r="X73" s="961">
        <f>W73/I73</f>
        <v>7.4216666666649997</v>
      </c>
      <c r="Y73" s="961">
        <v>148.72</v>
      </c>
      <c r="Z73" s="961">
        <f>Y73/I73</f>
        <v>7.4359999999999999</v>
      </c>
      <c r="AA73" s="961">
        <v>772.38</v>
      </c>
      <c r="AB73" s="961">
        <f>AA73/I73</f>
        <v>38.619</v>
      </c>
      <c r="AC73" s="962">
        <f t="shared" si="1"/>
        <v>0.1614591249592878</v>
      </c>
      <c r="AD73" s="963">
        <f t="shared" si="2"/>
        <v>10.6</v>
      </c>
      <c r="AE73">
        <v>4</v>
      </c>
      <c r="AF73" s="959">
        <v>19</v>
      </c>
      <c r="AG73" s="959">
        <v>30</v>
      </c>
      <c r="AH73" s="959">
        <v>4</v>
      </c>
      <c r="AI73" s="959">
        <v>4</v>
      </c>
      <c r="AJ73" s="960">
        <f>IF(N73&gt;0,J73/BU73,0)</f>
        <v>0.4</v>
      </c>
      <c r="AK73" s="960">
        <f t="shared" si="3"/>
        <v>0.4</v>
      </c>
      <c r="AL73" s="960">
        <f t="shared" si="4"/>
        <v>0.8</v>
      </c>
      <c r="AM73" s="959">
        <v>36</v>
      </c>
      <c r="AN73" s="962">
        <f t="shared" si="5"/>
        <v>0.25531914893617019</v>
      </c>
      <c r="AO73" s="959">
        <v>38</v>
      </c>
      <c r="AP73" s="962">
        <f t="shared" si="6"/>
        <v>0.26950354609929078</v>
      </c>
      <c r="AQ73" s="959">
        <v>67</v>
      </c>
      <c r="AR73" s="962">
        <f t="shared" si="7"/>
        <v>0.47517730496453903</v>
      </c>
      <c r="AS73" s="962">
        <f t="shared" si="8"/>
        <v>0.48648648648648651</v>
      </c>
      <c r="AT73" s="959">
        <v>9</v>
      </c>
      <c r="AU73" s="964">
        <v>6.19</v>
      </c>
      <c r="AV73" s="965">
        <v>45</v>
      </c>
      <c r="AW73" s="965">
        <v>63</v>
      </c>
      <c r="AX73" s="965">
        <v>50</v>
      </c>
      <c r="AY73" s="962">
        <f t="shared" si="9"/>
        <v>0.41666666666666669</v>
      </c>
      <c r="AZ73" s="966">
        <v>16.63</v>
      </c>
      <c r="BA73" s="967">
        <v>13</v>
      </c>
      <c r="BB73" s="965">
        <v>-0.78400000000000003</v>
      </c>
      <c r="BC73" s="959">
        <v>13</v>
      </c>
      <c r="BD73" s="968">
        <v>-1.782</v>
      </c>
      <c r="BE73" s="961">
        <v>48.61</v>
      </c>
      <c r="BF73" s="966">
        <v>16.3</v>
      </c>
      <c r="BG73" s="968">
        <v>-1.1160000000000001</v>
      </c>
      <c r="BH73" s="968">
        <v>-7.5910000000000002</v>
      </c>
      <c r="BI73" s="961">
        <v>46.28</v>
      </c>
      <c r="BJ73" s="962">
        <f t="shared" si="10"/>
        <v>9.4339622641509441E-2</v>
      </c>
      <c r="BK73" s="969">
        <f t="shared" si="11"/>
        <v>0.88311688311688308</v>
      </c>
      <c r="BL73" s="967">
        <f t="shared" si="12"/>
        <v>977.4565057583925</v>
      </c>
      <c r="BM73" s="962">
        <f t="shared" si="13"/>
        <v>-2.2543494241607481E-2</v>
      </c>
      <c r="BN73" s="966">
        <f>BU73/(Z73*I73)*60</f>
        <v>2.0172135556750943</v>
      </c>
      <c r="BO73" s="966">
        <f>BV73/(Z73*I73)*60</f>
        <v>3.6309844002151697</v>
      </c>
      <c r="BP73" s="961">
        <f>(BU73+BW73)/(Z73*I73)*60</f>
        <v>21.382463690155998</v>
      </c>
      <c r="BQ73" s="961">
        <f>(BV73+BX73)/(Z73*I73)*60</f>
        <v>31.065088757396449</v>
      </c>
      <c r="BR73" s="961">
        <f>(BU73+BW73+BY73+CB73)/(Z73*I73)*60</f>
        <v>42.764927380311995</v>
      </c>
      <c r="BS73" s="961">
        <f>(BV73+BX73+BZ73+CA73)/(Z73*I73)*60</f>
        <v>53.657880580957503</v>
      </c>
      <c r="BT73" s="961">
        <f t="shared" si="14"/>
        <v>-10.892953200645508</v>
      </c>
      <c r="BU73" s="959">
        <v>5</v>
      </c>
      <c r="BV73" s="959">
        <v>9</v>
      </c>
      <c r="BW73" s="967">
        <v>48</v>
      </c>
      <c r="BX73" s="967">
        <v>68</v>
      </c>
      <c r="BY73" s="967">
        <v>18</v>
      </c>
      <c r="BZ73" s="967">
        <v>25</v>
      </c>
      <c r="CA73" s="967">
        <v>31</v>
      </c>
      <c r="CB73" s="967">
        <v>35</v>
      </c>
      <c r="CC73" s="959">
        <v>52</v>
      </c>
      <c r="CD73" s="959">
        <v>80</v>
      </c>
      <c r="CE73" s="962">
        <f t="shared" si="15"/>
        <v>0.39393939393939392</v>
      </c>
      <c r="CF73" s="964">
        <v>-5.18</v>
      </c>
      <c r="CG73" s="970">
        <f t="shared" si="16"/>
        <v>-4.8496288763211837</v>
      </c>
      <c r="CH73" s="966">
        <f>CO73/(AB73*I73)*60</f>
        <v>1.5536394002951914</v>
      </c>
      <c r="CI73" s="966">
        <f>CP73/(AB73*I73)*60</f>
        <v>3.3403247106346621</v>
      </c>
      <c r="CJ73" s="966">
        <f>(CO73+CQ73)/(AB73*I73)*60</f>
        <v>28.742328905461044</v>
      </c>
      <c r="CK73" s="966">
        <f>(CP73+CR73)/(AB73*I73)*60</f>
        <v>34.490794686553258</v>
      </c>
      <c r="CL73" s="966">
        <f>(CO73+CQ73+CS73+CV73)/(AB73*I73)*60</f>
        <v>54.377379010331708</v>
      </c>
      <c r="CM73" s="966">
        <f>(CP73+CR73+CT73+CU73)/(AB73*I73)*60</f>
        <v>62.378621921851945</v>
      </c>
      <c r="CN73" s="961">
        <f t="shared" si="17"/>
        <v>-2.8917102891252711</v>
      </c>
      <c r="CO73" s="967">
        <v>20</v>
      </c>
      <c r="CP73" s="967">
        <v>43</v>
      </c>
      <c r="CQ73" s="967">
        <v>350</v>
      </c>
      <c r="CR73" s="967">
        <v>401</v>
      </c>
      <c r="CS73" s="967">
        <v>144</v>
      </c>
      <c r="CT73" s="967">
        <v>173</v>
      </c>
      <c r="CU73" s="967">
        <v>186</v>
      </c>
      <c r="CV73" s="967">
        <v>186</v>
      </c>
      <c r="CW73" s="959">
        <v>2</v>
      </c>
      <c r="CX73" s="959">
        <v>0</v>
      </c>
      <c r="CY73" s="967">
        <f t="shared" si="18"/>
        <v>-2</v>
      </c>
      <c r="CZ73" s="966">
        <f>CW73/(X73*I73)*60</f>
        <v>0.80844374578953704</v>
      </c>
      <c r="DA73" s="966">
        <f>CX73/(X73*I73)*60</f>
        <v>0</v>
      </c>
      <c r="DB73" s="966">
        <f>CY73/(X73*I73)*60</f>
        <v>-0.80844374578953704</v>
      </c>
      <c r="DC73" s="9">
        <v>3</v>
      </c>
      <c r="DD73" s="9">
        <v>6</v>
      </c>
      <c r="DE73" s="971">
        <v>4.63</v>
      </c>
      <c r="DF73" s="971">
        <v>6.23</v>
      </c>
      <c r="DG73" s="971">
        <v>5</v>
      </c>
      <c r="DH73" s="971">
        <v>5.56</v>
      </c>
      <c r="DI73" s="9">
        <v>1</v>
      </c>
      <c r="DJ73" s="9">
        <v>1</v>
      </c>
      <c r="DK73" s="962">
        <f t="shared" si="19"/>
        <v>0.5</v>
      </c>
      <c r="DL73" s="967"/>
      <c r="DM73" s="967"/>
      <c r="DN73" s="959"/>
      <c r="DO73" s="959"/>
      <c r="DP73" s="959"/>
      <c r="DQ73" s="959"/>
      <c r="DR73" s="959"/>
      <c r="DS73" s="959"/>
      <c r="DT73" s="9">
        <v>2</v>
      </c>
      <c r="DU73" s="973">
        <v>1</v>
      </c>
      <c r="DV73" s="9">
        <v>0</v>
      </c>
      <c r="DW73" s="9">
        <v>0</v>
      </c>
      <c r="DX73" s="9">
        <v>0</v>
      </c>
      <c r="DY73" s="9">
        <v>0</v>
      </c>
      <c r="DZ73" s="9">
        <v>0</v>
      </c>
      <c r="EA73" s="9">
        <v>0</v>
      </c>
    </row>
    <row r="74" spans="1:131" ht="39" x14ac:dyDescent="0.25">
      <c r="A74" s="9" t="s">
        <v>403</v>
      </c>
      <c r="B74" s="9" t="s">
        <v>303</v>
      </c>
      <c r="C74" s="10" t="s">
        <v>406</v>
      </c>
      <c r="D74" s="959" t="s">
        <v>216</v>
      </c>
      <c r="E74" s="9" t="s">
        <v>160</v>
      </c>
      <c r="F74" s="9">
        <f>4/27</f>
        <v>0.14814814814814814</v>
      </c>
      <c r="G74" s="9" t="s">
        <v>456</v>
      </c>
      <c r="H74" s="9">
        <f>10/23</f>
        <v>0.43478260869565216</v>
      </c>
      <c r="I74" s="9">
        <v>27</v>
      </c>
      <c r="J74" s="9">
        <v>1</v>
      </c>
      <c r="K74" s="9">
        <v>2</v>
      </c>
      <c r="L74" s="957">
        <f>J74+K74</f>
        <v>3</v>
      </c>
      <c r="M74" s="958">
        <f t="shared" si="0"/>
        <v>0.50694705219672309</v>
      </c>
      <c r="N74" s="959">
        <v>1</v>
      </c>
      <c r="O74" s="959">
        <v>1</v>
      </c>
      <c r="P74" s="959">
        <v>1</v>
      </c>
      <c r="Q74" s="959">
        <v>34</v>
      </c>
      <c r="R74" s="959">
        <v>8</v>
      </c>
      <c r="S74" s="959">
        <v>25</v>
      </c>
      <c r="T74" s="959">
        <v>21</v>
      </c>
      <c r="U74" s="960">
        <f>IF(Q74&gt;0,J74/Q74,0)</f>
        <v>2.9411764705882353E-2</v>
      </c>
      <c r="V74" s="960">
        <f>IF(SUM(Q74:S74)&gt;0,J74/SUM(Q74:S74),0)</f>
        <v>1.4925373134328358E-2</v>
      </c>
      <c r="W74" s="961">
        <v>355.06666666669997</v>
      </c>
      <c r="X74" s="961">
        <f>W74/I74</f>
        <v>13.150617283951851</v>
      </c>
      <c r="Y74" s="961">
        <v>343.76</v>
      </c>
      <c r="Z74" s="961">
        <f>Y74/I74</f>
        <v>12.731851851851852</v>
      </c>
      <c r="AA74" s="961">
        <v>951.42</v>
      </c>
      <c r="AB74" s="961">
        <f>AA74/I74</f>
        <v>35.237777777777779</v>
      </c>
      <c r="AC74" s="962">
        <f t="shared" si="1"/>
        <v>0.26541484581293723</v>
      </c>
      <c r="AD74" s="963">
        <f t="shared" si="2"/>
        <v>17.900000000000002</v>
      </c>
      <c r="AE74">
        <v>25</v>
      </c>
      <c r="AF74" s="959">
        <v>24</v>
      </c>
      <c r="AG74" s="959">
        <v>37</v>
      </c>
      <c r="AH74" s="959">
        <v>5</v>
      </c>
      <c r="AI74" s="959">
        <v>5</v>
      </c>
      <c r="AJ74" s="960">
        <f>IF(N74&gt;0,J74/BU74,0)</f>
        <v>0.1</v>
      </c>
      <c r="AK74" s="960">
        <f t="shared" si="3"/>
        <v>0.2</v>
      </c>
      <c r="AL74" s="960">
        <f t="shared" si="4"/>
        <v>0.30000000000000004</v>
      </c>
      <c r="AM74" s="959">
        <v>111</v>
      </c>
      <c r="AN74" s="962">
        <f t="shared" si="5"/>
        <v>0.34472049689440992</v>
      </c>
      <c r="AO74" s="959">
        <v>81</v>
      </c>
      <c r="AP74" s="962">
        <f t="shared" si="6"/>
        <v>0.25155279503105588</v>
      </c>
      <c r="AQ74" s="959">
        <v>130</v>
      </c>
      <c r="AR74" s="962">
        <f t="shared" si="7"/>
        <v>0.40372670807453415</v>
      </c>
      <c r="AS74" s="962">
        <f t="shared" si="8"/>
        <v>0.578125</v>
      </c>
      <c r="AT74" s="959">
        <v>6</v>
      </c>
      <c r="AU74" s="964">
        <v>12.14</v>
      </c>
      <c r="AV74" s="965">
        <v>148</v>
      </c>
      <c r="AW74" s="965">
        <v>137</v>
      </c>
      <c r="AX74" s="965">
        <v>103</v>
      </c>
      <c r="AY74" s="962">
        <f t="shared" si="9"/>
        <v>0.51929824561403504</v>
      </c>
      <c r="AZ74" s="966">
        <v>16.96</v>
      </c>
      <c r="BA74" s="967">
        <v>6</v>
      </c>
      <c r="BB74" s="965">
        <v>-0.73099999999999998</v>
      </c>
      <c r="BC74" s="959">
        <v>6</v>
      </c>
      <c r="BD74" s="968">
        <v>-0.99</v>
      </c>
      <c r="BE74" s="961">
        <v>49.17</v>
      </c>
      <c r="BF74" s="966">
        <v>15.98</v>
      </c>
      <c r="BG74" s="968">
        <v>-1.3480000000000001</v>
      </c>
      <c r="BH74" s="968">
        <v>-3.9079999999999999</v>
      </c>
      <c r="BI74" s="961">
        <v>48.8</v>
      </c>
      <c r="BJ74" s="962">
        <f t="shared" si="10"/>
        <v>5.5865921787709494E-2</v>
      </c>
      <c r="BK74" s="969">
        <f t="shared" si="11"/>
        <v>0.91666666666666663</v>
      </c>
      <c r="BL74" s="967">
        <f t="shared" si="12"/>
        <v>972.53258845437608</v>
      </c>
      <c r="BM74" s="962">
        <f t="shared" si="13"/>
        <v>-2.7467411545623877E-2</v>
      </c>
      <c r="BN74" s="966">
        <f>BU74/(Z74*I74)*60</f>
        <v>1.7454037700721432</v>
      </c>
      <c r="BO74" s="966">
        <f>BV74/(Z74*I74)*60</f>
        <v>2.4435652781010009</v>
      </c>
      <c r="BP74" s="961">
        <f>(BU74+BW74)/(Z74*I74)*60</f>
        <v>31.242727484291365</v>
      </c>
      <c r="BQ74" s="961">
        <f>(BV74+BX74)/(Z74*I74)*60</f>
        <v>29.322783337212009</v>
      </c>
      <c r="BR74" s="961">
        <f>(BU74+BW74+BY74+CB74)/(Z74*I74)*60</f>
        <v>57.074703281359092</v>
      </c>
      <c r="BS74" s="961">
        <f>(BV74+BX74+BZ74+CA74)/(Z74*I74)*60</f>
        <v>60.041889690481732</v>
      </c>
      <c r="BT74" s="961">
        <f t="shared" si="14"/>
        <v>-2.9671864091226396</v>
      </c>
      <c r="BU74" s="959">
        <v>10</v>
      </c>
      <c r="BV74" s="959">
        <v>14</v>
      </c>
      <c r="BW74" s="967">
        <v>169</v>
      </c>
      <c r="BX74" s="967">
        <v>154</v>
      </c>
      <c r="BY74" s="967">
        <v>59</v>
      </c>
      <c r="BZ74" s="967">
        <v>84</v>
      </c>
      <c r="CA74" s="967">
        <v>92</v>
      </c>
      <c r="CB74" s="967">
        <v>89</v>
      </c>
      <c r="CC74" s="959">
        <v>164</v>
      </c>
      <c r="CD74" s="959">
        <v>166</v>
      </c>
      <c r="CE74" s="962">
        <f t="shared" si="15"/>
        <v>0.49696969696969695</v>
      </c>
      <c r="CF74" s="964">
        <v>3.36</v>
      </c>
      <c r="CG74" s="970">
        <f t="shared" si="16"/>
        <v>-2.0141864091226402</v>
      </c>
      <c r="CH74" s="966">
        <f>CO74/(AB74*I74)*60</f>
        <v>2.0180361985243112</v>
      </c>
      <c r="CI74" s="966">
        <f>CP74/(AB74*I74)*60</f>
        <v>2.6486725105631579</v>
      </c>
      <c r="CJ74" s="966">
        <f>(CO74+CQ74)/(AB74*I74)*60</f>
        <v>27.937188623320928</v>
      </c>
      <c r="CK74" s="966">
        <f>(CP74+CR74)/(AB74*I74)*60</f>
        <v>34.306615374913285</v>
      </c>
      <c r="CL74" s="966">
        <f>(CO74+CQ74+CS74+CV74)/(AB74*I74)*60</f>
        <v>56.126631771457397</v>
      </c>
      <c r="CM74" s="966">
        <f>(CP74+CR74+CT74+CU74)/(AB74*I74)*60</f>
        <v>61.108658636564286</v>
      </c>
      <c r="CN74" s="961">
        <f t="shared" si="17"/>
        <v>2.014840455984249</v>
      </c>
      <c r="CO74" s="967">
        <v>32</v>
      </c>
      <c r="CP74" s="967">
        <v>42</v>
      </c>
      <c r="CQ74" s="967">
        <v>411</v>
      </c>
      <c r="CR74" s="967">
        <v>502</v>
      </c>
      <c r="CS74" s="967">
        <v>207</v>
      </c>
      <c r="CT74" s="967">
        <v>190</v>
      </c>
      <c r="CU74" s="967">
        <v>235</v>
      </c>
      <c r="CV74" s="967">
        <v>240</v>
      </c>
      <c r="CW74" s="959">
        <v>3</v>
      </c>
      <c r="CX74" s="959">
        <v>3</v>
      </c>
      <c r="CY74" s="967">
        <f t="shared" si="18"/>
        <v>0</v>
      </c>
      <c r="CZ74" s="966">
        <f>CW74/(X74*I74)*60</f>
        <v>0.50694705219672309</v>
      </c>
      <c r="DA74" s="966">
        <f>CX74/(X74*I74)*60</f>
        <v>0.50694705219672309</v>
      </c>
      <c r="DB74" s="966">
        <f>CY74/(X74*I74)*60</f>
        <v>0</v>
      </c>
      <c r="DC74" s="9">
        <v>11</v>
      </c>
      <c r="DD74" s="9">
        <v>13</v>
      </c>
      <c r="DE74" s="971">
        <v>8.8000000000000007</v>
      </c>
      <c r="DF74" s="971">
        <v>16.100000000000001</v>
      </c>
      <c r="DG74" s="971">
        <v>11.7</v>
      </c>
      <c r="DH74" s="971">
        <v>14.25</v>
      </c>
      <c r="DI74" s="959"/>
      <c r="DJ74" s="959"/>
      <c r="DK74" s="962" t="str">
        <f t="shared" si="19"/>
        <v xml:space="preserve"> </v>
      </c>
      <c r="DL74" s="967"/>
      <c r="DM74" s="967"/>
      <c r="DN74" s="959"/>
      <c r="DO74" s="959"/>
      <c r="DP74" s="959"/>
      <c r="DQ74" s="959"/>
      <c r="DR74" s="959"/>
      <c r="DS74" s="959"/>
      <c r="DT74" s="959"/>
      <c r="DU74" s="967"/>
      <c r="DV74" s="959"/>
      <c r="DW74" s="959"/>
      <c r="DX74" s="959"/>
      <c r="DY74" s="959"/>
      <c r="DZ74" s="959"/>
      <c r="EA74" s="9"/>
    </row>
    <row r="75" spans="1:131" ht="39" x14ac:dyDescent="0.25">
      <c r="A75" s="9" t="s">
        <v>200</v>
      </c>
      <c r="B75" s="9" t="s">
        <v>292</v>
      </c>
      <c r="C75" s="10" t="s">
        <v>407</v>
      </c>
      <c r="D75" s="959" t="s">
        <v>189</v>
      </c>
      <c r="E75" s="9" t="s">
        <v>160</v>
      </c>
      <c r="F75" s="9">
        <f>4/21</f>
        <v>0.19047619047619047</v>
      </c>
      <c r="G75" s="9" t="s">
        <v>456</v>
      </c>
      <c r="H75" s="9">
        <f>59/74</f>
        <v>0.79729729729729726</v>
      </c>
      <c r="I75" s="9">
        <v>21</v>
      </c>
      <c r="J75" s="9">
        <v>0</v>
      </c>
      <c r="K75" s="9">
        <v>1</v>
      </c>
      <c r="L75" s="957">
        <f>J75+K75</f>
        <v>1</v>
      </c>
      <c r="M75" s="958">
        <f t="shared" si="0"/>
        <v>0.19659239842726084</v>
      </c>
      <c r="N75" s="959">
        <v>0</v>
      </c>
      <c r="O75" s="959">
        <v>0</v>
      </c>
      <c r="P75" s="959">
        <v>1</v>
      </c>
      <c r="Q75" s="959">
        <v>14</v>
      </c>
      <c r="R75" s="959">
        <v>9</v>
      </c>
      <c r="S75" s="959">
        <v>14</v>
      </c>
      <c r="T75" s="959">
        <v>10</v>
      </c>
      <c r="U75" s="960">
        <f>IF(Q75&gt;0,J75/Q75,0)</f>
        <v>0</v>
      </c>
      <c r="V75" s="960">
        <f>IF(SUM(Q75:S75)&gt;0,J75/SUM(Q75:S75),0)</f>
        <v>0</v>
      </c>
      <c r="W75" s="961">
        <v>305.2</v>
      </c>
      <c r="X75" s="961">
        <f>W75/I75</f>
        <v>14.533333333333333</v>
      </c>
      <c r="Y75" s="961">
        <v>292.43</v>
      </c>
      <c r="Z75" s="961">
        <f>Y75/I75</f>
        <v>13.925238095238095</v>
      </c>
      <c r="AA75" s="961">
        <v>705.33</v>
      </c>
      <c r="AB75" s="961">
        <f>AA75/I75</f>
        <v>33.587142857142858</v>
      </c>
      <c r="AC75" s="962">
        <f t="shared" si="1"/>
        <v>0.29308651379089162</v>
      </c>
      <c r="AD75" s="963">
        <f t="shared" si="2"/>
        <v>0</v>
      </c>
      <c r="AE75">
        <v>21</v>
      </c>
      <c r="AF75" s="959">
        <v>9</v>
      </c>
      <c r="AG75" s="959">
        <v>35</v>
      </c>
      <c r="AH75" s="959">
        <v>13</v>
      </c>
      <c r="AI75" s="959">
        <v>2</v>
      </c>
      <c r="AJ75" s="960">
        <f>IF(N75&gt;0,J75/BU75,0)</f>
        <v>0</v>
      </c>
      <c r="AK75" s="960">
        <f t="shared" si="3"/>
        <v>6.6666666666666666E-2</v>
      </c>
      <c r="AL75" s="960">
        <f t="shared" si="4"/>
        <v>6.6666666666666666E-2</v>
      </c>
      <c r="AM75" s="959">
        <v>94</v>
      </c>
      <c r="AN75" s="962">
        <f t="shared" si="5"/>
        <v>0.3715415019762846</v>
      </c>
      <c r="AO75" s="959">
        <v>76</v>
      </c>
      <c r="AP75" s="962">
        <f t="shared" si="6"/>
        <v>0.30039525691699603</v>
      </c>
      <c r="AQ75" s="959">
        <v>83</v>
      </c>
      <c r="AR75" s="962">
        <f t="shared" si="7"/>
        <v>0.32806324110671936</v>
      </c>
      <c r="AS75" s="962">
        <f t="shared" si="8"/>
        <v>0.55294117647058827</v>
      </c>
      <c r="AT75" s="959">
        <v>7</v>
      </c>
      <c r="AU75" s="964">
        <v>10.02</v>
      </c>
      <c r="AV75" s="965">
        <v>119</v>
      </c>
      <c r="AW75" s="965">
        <v>113</v>
      </c>
      <c r="AX75" s="965">
        <v>82</v>
      </c>
      <c r="AY75" s="962">
        <f t="shared" si="9"/>
        <v>0.51293103448275867</v>
      </c>
      <c r="AZ75" s="966">
        <v>16.989999999999998</v>
      </c>
      <c r="BA75" s="967">
        <v>8</v>
      </c>
      <c r="BB75" s="965">
        <v>-0.42299999999999999</v>
      </c>
      <c r="BC75" s="959">
        <v>8</v>
      </c>
      <c r="BD75" s="968">
        <v>-1.4710000000000001</v>
      </c>
      <c r="BE75" s="961">
        <v>49.49</v>
      </c>
      <c r="BF75" s="966">
        <v>15.85</v>
      </c>
      <c r="BG75" s="968">
        <v>-2.3849999999999998</v>
      </c>
      <c r="BH75" s="968">
        <v>-2.4159999999999999</v>
      </c>
      <c r="BI75" s="961">
        <v>50.24</v>
      </c>
      <c r="BJ75" s="962">
        <f t="shared" si="10"/>
        <v>9.9337748344370855E-2</v>
      </c>
      <c r="BK75" s="969">
        <f t="shared" si="11"/>
        <v>0.92</v>
      </c>
      <c r="BL75" s="967">
        <f t="shared" si="12"/>
        <v>1019.3377483443709</v>
      </c>
      <c r="BM75" s="962">
        <f t="shared" si="13"/>
        <v>1.9337748344370895E-2</v>
      </c>
      <c r="BN75" s="966">
        <f>BU75/(Z75*I75)*60</f>
        <v>3.0776596108470402</v>
      </c>
      <c r="BO75" s="966">
        <f>BV75/(Z75*I75)*60</f>
        <v>2.462127688677632</v>
      </c>
      <c r="BP75" s="961">
        <f>(BU75+BW75)/(Z75*I75)*60</f>
        <v>30.981773415860207</v>
      </c>
      <c r="BQ75" s="961">
        <f>(BV75+BX75)/(Z75*I75)*60</f>
        <v>30.7765961084704</v>
      </c>
      <c r="BR75" s="961">
        <f>(BU75+BW75+BY75+CB75)/(Z75*I75)*60</f>
        <v>54.987518380467115</v>
      </c>
      <c r="BS75" s="961">
        <f>(BV75+BX75+BZ75+CA75)/(Z75*I75)*60</f>
        <v>55.397872995246729</v>
      </c>
      <c r="BT75" s="961">
        <f t="shared" si="14"/>
        <v>-0.41035461477961377</v>
      </c>
      <c r="BU75" s="959">
        <v>15</v>
      </c>
      <c r="BV75" s="959">
        <v>12</v>
      </c>
      <c r="BW75" s="967">
        <v>136</v>
      </c>
      <c r="BX75" s="967">
        <v>138</v>
      </c>
      <c r="BY75" s="967">
        <v>53</v>
      </c>
      <c r="BZ75" s="967">
        <v>52</v>
      </c>
      <c r="CA75" s="967">
        <v>68</v>
      </c>
      <c r="CB75" s="967">
        <v>64</v>
      </c>
      <c r="CC75" s="959">
        <v>133</v>
      </c>
      <c r="CD75" s="959">
        <v>147</v>
      </c>
      <c r="CE75" s="962">
        <f t="shared" si="15"/>
        <v>0.47499999999999998</v>
      </c>
      <c r="CF75" s="964">
        <v>0.84</v>
      </c>
      <c r="CG75" s="970">
        <f t="shared" si="16"/>
        <v>-0.8259428500737318</v>
      </c>
      <c r="CH75" s="966">
        <f>CO75/(AB75*I75)*60</f>
        <v>3.0623963251244097</v>
      </c>
      <c r="CI75" s="966">
        <f>CP75/(AB75*I75)*60</f>
        <v>3.2325294542979881</v>
      </c>
      <c r="CJ75" s="966">
        <f>(CO75+CQ75)/(AB75*I75)*60</f>
        <v>28.752498830334737</v>
      </c>
      <c r="CK75" s="966">
        <f>(CP75+CR75)/(AB75*I75)*60</f>
        <v>30.964229509591252</v>
      </c>
      <c r="CL75" s="966">
        <f>(CO75+CQ75+CS75+CV75)/(AB75*I75)*60</f>
        <v>53.591935689677172</v>
      </c>
      <c r="CM75" s="966">
        <f>(CP75+CR75+CT75+CU75)/(AB75*I75)*60</f>
        <v>56.228999191867636</v>
      </c>
      <c r="CN75" s="961">
        <f t="shared" si="17"/>
        <v>2.2267088874108509</v>
      </c>
      <c r="CO75" s="967">
        <v>36</v>
      </c>
      <c r="CP75" s="967">
        <v>38</v>
      </c>
      <c r="CQ75" s="967">
        <v>302</v>
      </c>
      <c r="CR75" s="967">
        <v>326</v>
      </c>
      <c r="CS75" s="967">
        <v>128</v>
      </c>
      <c r="CT75" s="967">
        <v>128</v>
      </c>
      <c r="CU75" s="967">
        <v>169</v>
      </c>
      <c r="CV75" s="967">
        <v>164</v>
      </c>
      <c r="CW75" s="959">
        <v>4</v>
      </c>
      <c r="CX75" s="959">
        <v>1</v>
      </c>
      <c r="CY75" s="967">
        <f t="shared" si="18"/>
        <v>-3</v>
      </c>
      <c r="CZ75" s="966">
        <f>CW75/(X75*I75)*60</f>
        <v>0.78636959370904336</v>
      </c>
      <c r="DA75" s="966">
        <f>CX75/(X75*I75)*60</f>
        <v>0.19659239842726084</v>
      </c>
      <c r="DB75" s="966">
        <f>CY75/(X75*I75)*60</f>
        <v>-0.58977719528178241</v>
      </c>
      <c r="DC75" s="9">
        <v>11</v>
      </c>
      <c r="DD75" s="9">
        <v>14</v>
      </c>
      <c r="DE75" s="971">
        <v>10.94</v>
      </c>
      <c r="DF75" s="971">
        <v>11.35</v>
      </c>
      <c r="DG75" s="971">
        <v>10.76</v>
      </c>
      <c r="DH75" s="971">
        <v>12.04</v>
      </c>
      <c r="DI75" s="959"/>
      <c r="DJ75" s="959"/>
      <c r="DK75" s="962" t="str">
        <f t="shared" si="19"/>
        <v xml:space="preserve"> </v>
      </c>
      <c r="DL75" s="967"/>
      <c r="DM75" s="967"/>
      <c r="DN75" s="959"/>
      <c r="DO75" s="959"/>
      <c r="DP75" s="959"/>
      <c r="DQ75" s="959"/>
      <c r="DR75" s="959"/>
      <c r="DS75" s="959"/>
      <c r="DT75" s="959"/>
      <c r="DU75" s="967"/>
      <c r="DV75" s="959"/>
      <c r="DW75" s="959"/>
      <c r="DX75" s="959"/>
      <c r="DY75" s="959"/>
      <c r="DZ75" s="959"/>
      <c r="EA75" s="9"/>
    </row>
    <row r="76" spans="1:131" ht="26.25" x14ac:dyDescent="0.25">
      <c r="A76" s="9" t="s">
        <v>408</v>
      </c>
      <c r="B76" s="9" t="s">
        <v>320</v>
      </c>
      <c r="C76" s="10" t="s">
        <v>409</v>
      </c>
      <c r="D76" s="959" t="s">
        <v>193</v>
      </c>
      <c r="E76" s="9" t="s">
        <v>160</v>
      </c>
      <c r="F76" s="9">
        <f>4/39</f>
        <v>0.10256410256410256</v>
      </c>
      <c r="G76" s="9" t="s">
        <v>462</v>
      </c>
      <c r="H76" s="9">
        <f>27/60</f>
        <v>0.45</v>
      </c>
      <c r="I76" s="9">
        <v>39</v>
      </c>
      <c r="J76" s="9">
        <v>1</v>
      </c>
      <c r="K76" s="9">
        <v>3</v>
      </c>
      <c r="L76" s="957">
        <f>J76+K76</f>
        <v>4</v>
      </c>
      <c r="M76" s="958">
        <f t="shared" si="0"/>
        <v>0.38818201423331966</v>
      </c>
      <c r="N76" s="959">
        <v>1</v>
      </c>
      <c r="O76" s="959">
        <v>1</v>
      </c>
      <c r="P76" s="959">
        <v>2</v>
      </c>
      <c r="Q76" s="959">
        <v>27</v>
      </c>
      <c r="R76" s="959">
        <v>12</v>
      </c>
      <c r="S76" s="959">
        <v>24</v>
      </c>
      <c r="T76" s="959">
        <v>16</v>
      </c>
      <c r="U76" s="960">
        <f>IF(Q76&gt;0,J76/Q76,0)</f>
        <v>3.7037037037037035E-2</v>
      </c>
      <c r="V76" s="960">
        <f>IF(SUM(Q76:S76)&gt;0,J76/SUM(Q76:S76),0)</f>
        <v>1.5873015873015872E-2</v>
      </c>
      <c r="W76" s="961">
        <v>618.26666666669996</v>
      </c>
      <c r="X76" s="961">
        <f>W76/I76</f>
        <v>15.852991452992306</v>
      </c>
      <c r="Y76" s="961">
        <v>592.58000000000004</v>
      </c>
      <c r="Z76" s="961">
        <f>Y76/I76</f>
        <v>15.194358974358975</v>
      </c>
      <c r="AA76" s="961">
        <v>1325.12</v>
      </c>
      <c r="AB76" s="961">
        <f>AA76/I76</f>
        <v>33.977435897435896</v>
      </c>
      <c r="AC76" s="962">
        <f t="shared" si="1"/>
        <v>0.30900557960056318</v>
      </c>
      <c r="AD76" s="963">
        <f t="shared" si="2"/>
        <v>17.058823529411764</v>
      </c>
      <c r="AE76">
        <v>50</v>
      </c>
      <c r="AF76" s="959">
        <v>47</v>
      </c>
      <c r="AG76" s="959">
        <v>65</v>
      </c>
      <c r="AH76" s="959">
        <v>20</v>
      </c>
      <c r="AI76" s="959">
        <v>17</v>
      </c>
      <c r="AJ76" s="960">
        <f>IF(N76&gt;0,J76/BU76,0)</f>
        <v>5.8823529411764705E-2</v>
      </c>
      <c r="AK76" s="960">
        <f t="shared" si="3"/>
        <v>0.17647058823529413</v>
      </c>
      <c r="AL76" s="960">
        <f t="shared" si="4"/>
        <v>0.23529411764705882</v>
      </c>
      <c r="AM76" s="959">
        <v>220</v>
      </c>
      <c r="AN76" s="962">
        <f t="shared" si="5"/>
        <v>0.34108527131782945</v>
      </c>
      <c r="AO76" s="959">
        <v>224</v>
      </c>
      <c r="AP76" s="962">
        <f t="shared" si="6"/>
        <v>0.34728682170542635</v>
      </c>
      <c r="AQ76" s="959">
        <v>201</v>
      </c>
      <c r="AR76" s="962">
        <f t="shared" si="7"/>
        <v>0.3116279069767442</v>
      </c>
      <c r="AS76" s="962">
        <f t="shared" si="8"/>
        <v>0.49549549549549549</v>
      </c>
      <c r="AT76" s="959">
        <v>4</v>
      </c>
      <c r="AU76" s="964">
        <v>2.5</v>
      </c>
      <c r="AV76" s="965">
        <v>245</v>
      </c>
      <c r="AW76" s="965">
        <v>222</v>
      </c>
      <c r="AX76" s="965">
        <v>196</v>
      </c>
      <c r="AY76" s="962">
        <f t="shared" si="9"/>
        <v>0.52462526766595285</v>
      </c>
      <c r="AZ76" s="966">
        <v>17.329999999999998</v>
      </c>
      <c r="BA76" s="967">
        <v>5</v>
      </c>
      <c r="BB76" s="965">
        <v>0.311</v>
      </c>
      <c r="BC76" s="959">
        <v>5</v>
      </c>
      <c r="BD76" s="968">
        <v>-0.79300000000000004</v>
      </c>
      <c r="BE76" s="961">
        <v>49.75</v>
      </c>
      <c r="BF76" s="966">
        <v>16.559999999999999</v>
      </c>
      <c r="BG76" s="968">
        <v>1.462</v>
      </c>
      <c r="BH76" s="968">
        <v>3.5680000000000001</v>
      </c>
      <c r="BI76" s="961">
        <v>51.41</v>
      </c>
      <c r="BJ76" s="962">
        <f t="shared" si="10"/>
        <v>5.8620689655172413E-2</v>
      </c>
      <c r="BK76" s="969">
        <f t="shared" si="11"/>
        <v>0.90689655172413797</v>
      </c>
      <c r="BL76" s="967">
        <f t="shared" si="12"/>
        <v>965.51724137931046</v>
      </c>
      <c r="BM76" s="962">
        <f t="shared" si="13"/>
        <v>-3.448275862068962E-2</v>
      </c>
      <c r="BN76" s="966">
        <f>BU76/(Z76*I76)*60</f>
        <v>1.7212865773397683</v>
      </c>
      <c r="BO76" s="966">
        <f>BV76/(Z76*I76)*60</f>
        <v>2.7338080934219851</v>
      </c>
      <c r="BP76" s="961">
        <f>(BU76+BW76)/(Z76*I76)*60</f>
        <v>29.363123966384286</v>
      </c>
      <c r="BQ76" s="961">
        <f>(BV76+BX76)/(Z76*I76)*60</f>
        <v>29.363123966384286</v>
      </c>
      <c r="BR76" s="961">
        <f>(BU76+BW76+BY76+CB76)/(Z76*I76)*60</f>
        <v>57.713726416686349</v>
      </c>
      <c r="BS76" s="961">
        <f>(BV76+BX76+BZ76+CA76)/(Z76*I76)*60</f>
        <v>56.802457052212354</v>
      </c>
      <c r="BT76" s="961">
        <f t="shared" si="14"/>
        <v>0.91126936447399487</v>
      </c>
      <c r="BU76" s="959">
        <v>17</v>
      </c>
      <c r="BV76" s="959">
        <v>27</v>
      </c>
      <c r="BW76" s="967">
        <v>273</v>
      </c>
      <c r="BX76" s="967">
        <v>263</v>
      </c>
      <c r="BY76" s="967">
        <v>113</v>
      </c>
      <c r="BZ76" s="967">
        <v>112</v>
      </c>
      <c r="CA76" s="967">
        <v>159</v>
      </c>
      <c r="CB76" s="967">
        <v>167</v>
      </c>
      <c r="CC76" s="959">
        <v>262</v>
      </c>
      <c r="CD76" s="959">
        <v>250</v>
      </c>
      <c r="CE76" s="962">
        <f t="shared" si="15"/>
        <v>0.51171875</v>
      </c>
      <c r="CF76" s="964">
        <v>-0.49</v>
      </c>
      <c r="CG76" s="970">
        <f t="shared" si="16"/>
        <v>-3.431622527417896</v>
      </c>
      <c r="CH76" s="966">
        <f>CO76/(AB76*I76)*60</f>
        <v>2.4450615793286645</v>
      </c>
      <c r="CI76" s="966">
        <f>CP76/(AB76*I76)*60</f>
        <v>2.0828302342429366</v>
      </c>
      <c r="CJ76" s="966">
        <f>(CO76+CQ76)/(AB76*I76)*60</f>
        <v>30.336875150929728</v>
      </c>
      <c r="CK76" s="966">
        <f>(CP76+CR76)/(AB76*I76)*60</f>
        <v>30.29159623279401</v>
      </c>
      <c r="CL76" s="966">
        <f>(CO76+CQ76+CS76+CV76)/(AB76*I76)*60</f>
        <v>62.847138372373827</v>
      </c>
      <c r="CM76" s="966">
        <f>(CP76+CR76+CT76+CU76)/(AB76*I76)*60</f>
        <v>57.36838927795219</v>
      </c>
      <c r="CN76" s="961">
        <f t="shared" si="17"/>
        <v>-4.5674797299476424</v>
      </c>
      <c r="CO76" s="967">
        <v>54</v>
      </c>
      <c r="CP76" s="967">
        <v>46</v>
      </c>
      <c r="CQ76" s="967">
        <v>616</v>
      </c>
      <c r="CR76" s="967">
        <v>623</v>
      </c>
      <c r="CS76" s="967">
        <v>307</v>
      </c>
      <c r="CT76" s="967">
        <v>255</v>
      </c>
      <c r="CU76" s="967">
        <v>343</v>
      </c>
      <c r="CV76" s="967">
        <v>411</v>
      </c>
      <c r="CW76" s="959">
        <v>3</v>
      </c>
      <c r="CX76" s="959">
        <v>3</v>
      </c>
      <c r="CY76" s="967">
        <f t="shared" si="18"/>
        <v>0</v>
      </c>
      <c r="CZ76" s="966">
        <f>CW76/(X76*I76)*60</f>
        <v>0.29113651067498975</v>
      </c>
      <c r="DA76" s="966">
        <f>CX76/(X76*I76)*60</f>
        <v>0.29113651067498975</v>
      </c>
      <c r="DB76" s="966">
        <f>CY76/(X76*I76)*60</f>
        <v>0</v>
      </c>
      <c r="DC76" s="9">
        <v>23</v>
      </c>
      <c r="DD76" s="9">
        <v>23</v>
      </c>
      <c r="DE76" s="971">
        <v>21.85</v>
      </c>
      <c r="DF76" s="971">
        <v>22.54</v>
      </c>
      <c r="DG76" s="971">
        <v>23.43</v>
      </c>
      <c r="DH76" s="971">
        <v>22.44</v>
      </c>
      <c r="DI76" s="959"/>
      <c r="DJ76" s="959"/>
      <c r="DK76" s="962" t="str">
        <f t="shared" si="19"/>
        <v xml:space="preserve"> </v>
      </c>
      <c r="DL76" s="967"/>
      <c r="DM76" s="967"/>
      <c r="DN76" s="959"/>
      <c r="DO76" s="959"/>
      <c r="DP76" s="959"/>
      <c r="DQ76" s="959"/>
      <c r="DR76" s="959"/>
      <c r="DS76" s="959"/>
      <c r="DT76" s="959"/>
      <c r="DU76" s="967"/>
      <c r="DV76" s="959"/>
      <c r="DW76" s="959"/>
      <c r="DX76" s="959"/>
      <c r="DY76" s="959"/>
      <c r="DZ76" s="959"/>
      <c r="EA76" s="9"/>
    </row>
    <row r="77" spans="1:131" ht="26.25" x14ac:dyDescent="0.25">
      <c r="A77" s="9" t="s">
        <v>410</v>
      </c>
      <c r="B77" s="9" t="s">
        <v>295</v>
      </c>
      <c r="C77" s="10" t="s">
        <v>411</v>
      </c>
      <c r="D77" s="959" t="s">
        <v>216</v>
      </c>
      <c r="E77" s="9" t="s">
        <v>160</v>
      </c>
      <c r="F77" s="9">
        <f>4/23</f>
        <v>0.17391304347826086</v>
      </c>
      <c r="G77" s="9" t="s">
        <v>456</v>
      </c>
      <c r="H77" s="9">
        <f>35/75</f>
        <v>0.46666666666666667</v>
      </c>
      <c r="I77" s="9">
        <v>23</v>
      </c>
      <c r="J77" s="9">
        <v>1</v>
      </c>
      <c r="K77" s="9">
        <v>3</v>
      </c>
      <c r="L77" s="957">
        <f>J77+K77</f>
        <v>4</v>
      </c>
      <c r="M77" s="958">
        <f t="shared" si="0"/>
        <v>0.69287398354430951</v>
      </c>
      <c r="N77" s="959">
        <v>1</v>
      </c>
      <c r="O77" s="959">
        <v>2</v>
      </c>
      <c r="P77" s="959">
        <v>1</v>
      </c>
      <c r="Q77" s="959">
        <v>20</v>
      </c>
      <c r="R77" s="959">
        <v>19</v>
      </c>
      <c r="S77" s="959">
        <v>15</v>
      </c>
      <c r="T77" s="959">
        <v>17</v>
      </c>
      <c r="U77" s="960">
        <f>IF(Q77&gt;0,J77/Q77,0)</f>
        <v>0.05</v>
      </c>
      <c r="V77" s="960">
        <f>IF(SUM(Q77:S77)&gt;0,J77/SUM(Q77:S77),0)</f>
        <v>1.8518518518518517E-2</v>
      </c>
      <c r="W77" s="961">
        <v>346.38333333330002</v>
      </c>
      <c r="X77" s="961">
        <f>W77/I77</f>
        <v>15.060144927534783</v>
      </c>
      <c r="Y77" s="961">
        <v>343.4</v>
      </c>
      <c r="Z77" s="961">
        <f>Y77/I77</f>
        <v>14.930434782608694</v>
      </c>
      <c r="AA77" s="961">
        <v>768.51</v>
      </c>
      <c r="AB77" s="961">
        <f>AA77/I77</f>
        <v>33.413478260869567</v>
      </c>
      <c r="AC77" s="962">
        <f t="shared" si="1"/>
        <v>0.30883794551717314</v>
      </c>
      <c r="AD77" s="963">
        <f t="shared" si="2"/>
        <v>28</v>
      </c>
      <c r="AE77">
        <v>35</v>
      </c>
      <c r="AF77" s="959">
        <v>58</v>
      </c>
      <c r="AG77" s="959">
        <v>54</v>
      </c>
      <c r="AH77" s="959">
        <v>4</v>
      </c>
      <c r="AI77" s="959">
        <v>9</v>
      </c>
      <c r="AJ77" s="960">
        <f>IF(N77&gt;0,J77/BU77,0)</f>
        <v>0.1</v>
      </c>
      <c r="AK77" s="960">
        <f t="shared" si="3"/>
        <v>0.3</v>
      </c>
      <c r="AL77" s="960">
        <f t="shared" si="4"/>
        <v>0.4</v>
      </c>
      <c r="AM77" s="959">
        <v>87</v>
      </c>
      <c r="AN77" s="962">
        <f t="shared" si="5"/>
        <v>0.27707006369426751</v>
      </c>
      <c r="AO77" s="959">
        <v>134</v>
      </c>
      <c r="AP77" s="962">
        <f t="shared" si="6"/>
        <v>0.42675159235668791</v>
      </c>
      <c r="AQ77" s="959">
        <v>93</v>
      </c>
      <c r="AR77" s="962">
        <f t="shared" si="7"/>
        <v>0.29617834394904458</v>
      </c>
      <c r="AS77" s="962">
        <f t="shared" si="8"/>
        <v>0.39366515837104071</v>
      </c>
      <c r="AT77" s="959">
        <v>1</v>
      </c>
      <c r="AU77" s="964">
        <v>-10.15</v>
      </c>
      <c r="AV77" s="965">
        <v>121</v>
      </c>
      <c r="AW77" s="965">
        <v>144</v>
      </c>
      <c r="AX77" s="965">
        <v>89</v>
      </c>
      <c r="AY77" s="962">
        <f t="shared" si="9"/>
        <v>0.45660377358490567</v>
      </c>
      <c r="AZ77" s="966">
        <v>17.170000000000002</v>
      </c>
      <c r="BA77" s="967">
        <v>4</v>
      </c>
      <c r="BB77" s="965">
        <v>0.371</v>
      </c>
      <c r="BC77" s="959">
        <v>3</v>
      </c>
      <c r="BD77" s="968">
        <v>-1.526</v>
      </c>
      <c r="BE77" s="961">
        <v>49.38</v>
      </c>
      <c r="BF77" s="966">
        <v>15.76</v>
      </c>
      <c r="BG77" s="968">
        <v>-2.2370000000000001</v>
      </c>
      <c r="BH77" s="968">
        <v>-3.141</v>
      </c>
      <c r="BI77" s="961">
        <v>49.41</v>
      </c>
      <c r="BJ77" s="962">
        <f t="shared" si="10"/>
        <v>7.1428571428571425E-2</v>
      </c>
      <c r="BK77" s="969">
        <f t="shared" si="11"/>
        <v>0.90821256038647347</v>
      </c>
      <c r="BL77" s="967">
        <f t="shared" si="12"/>
        <v>979.6411318150449</v>
      </c>
      <c r="BM77" s="962">
        <f t="shared" si="13"/>
        <v>-2.0358868184955109E-2</v>
      </c>
      <c r="BN77" s="966">
        <f>BU77/(Z77*I77)*60</f>
        <v>1.7472335468841003</v>
      </c>
      <c r="BO77" s="966">
        <f>BV77/(Z77*I77)*60</f>
        <v>3.3197437390797906</v>
      </c>
      <c r="BP77" s="961">
        <f>(BU77+BW77)/(Z77*I77)*60</f>
        <v>24.461269656377404</v>
      </c>
      <c r="BQ77" s="961">
        <f>(BV77+BX77)/(Z77*I77)*60</f>
        <v>36.167734420500878</v>
      </c>
      <c r="BR77" s="961">
        <f>(BU77+BW77+BY77+CB77)/(Z77*I77)*60</f>
        <v>51.543389633080956</v>
      </c>
      <c r="BS77" s="961">
        <f>(BV77+BX77+BZ77+CA77)/(Z77*I77)*60</f>
        <v>66.744321490972638</v>
      </c>
      <c r="BT77" s="961">
        <f t="shared" si="14"/>
        <v>-15.200931857891682</v>
      </c>
      <c r="BU77" s="959">
        <v>10</v>
      </c>
      <c r="BV77" s="959">
        <v>19</v>
      </c>
      <c r="BW77" s="967">
        <v>130</v>
      </c>
      <c r="BX77" s="967">
        <v>188</v>
      </c>
      <c r="BY77" s="967">
        <v>74</v>
      </c>
      <c r="BZ77" s="967">
        <v>76</v>
      </c>
      <c r="CA77" s="967">
        <v>99</v>
      </c>
      <c r="CB77" s="967">
        <v>81</v>
      </c>
      <c r="CC77" s="959">
        <v>148</v>
      </c>
      <c r="CD77" s="959">
        <v>194</v>
      </c>
      <c r="CE77" s="962">
        <f t="shared" si="15"/>
        <v>0.43274853801169588</v>
      </c>
      <c r="CF77" s="964">
        <v>-3.64</v>
      </c>
      <c r="CG77" s="970">
        <f t="shared" si="16"/>
        <v>-11.123895658796659</v>
      </c>
      <c r="CH77" s="966">
        <f>CO77/(AB77*I77)*60</f>
        <v>1.6395362454619979</v>
      </c>
      <c r="CI77" s="966">
        <f>CP77/(AB77*I77)*60</f>
        <v>1.8737557090994263</v>
      </c>
      <c r="CJ77" s="966">
        <f>(CO77+CQ77)/(AB77*I77)*60</f>
        <v>31.151188663777958</v>
      </c>
      <c r="CK77" s="966">
        <f>(CP77+CR77)/(AB77*I77)*60</f>
        <v>33.805675918335481</v>
      </c>
      <c r="CL77" s="966">
        <f>(CO77+CQ77+CS77+CV77)/(AB77*I77)*60</f>
        <v>59.335597454815158</v>
      </c>
      <c r="CM77" s="966">
        <f>(CP77+CR77+CT77+CU77)/(AB77*I77)*60</f>
        <v>60.662841082093927</v>
      </c>
      <c r="CN77" s="961">
        <f t="shared" si="17"/>
        <v>-13.873688230612913</v>
      </c>
      <c r="CO77" s="967">
        <v>21</v>
      </c>
      <c r="CP77" s="967">
        <v>24</v>
      </c>
      <c r="CQ77" s="967">
        <v>378</v>
      </c>
      <c r="CR77" s="967">
        <v>409</v>
      </c>
      <c r="CS77" s="967">
        <v>152</v>
      </c>
      <c r="CT77" s="967">
        <v>173</v>
      </c>
      <c r="CU77" s="967">
        <v>171</v>
      </c>
      <c r="CV77" s="967">
        <v>209</v>
      </c>
      <c r="CW77" s="959">
        <v>2</v>
      </c>
      <c r="CX77" s="959">
        <v>1</v>
      </c>
      <c r="CY77" s="967">
        <f t="shared" si="18"/>
        <v>-1</v>
      </c>
      <c r="CZ77" s="966">
        <f>CW77/(X77*I77)*60</f>
        <v>0.34643699177215476</v>
      </c>
      <c r="DA77" s="966">
        <f>CX77/(X77*I77)*60</f>
        <v>0.17321849588607738</v>
      </c>
      <c r="DB77" s="966">
        <f>CY77/(X77*I77)*60</f>
        <v>-0.17321849588607738</v>
      </c>
      <c r="DC77" s="9">
        <v>11</v>
      </c>
      <c r="DD77" s="9">
        <v>16</v>
      </c>
      <c r="DE77" s="971">
        <v>8.68</v>
      </c>
      <c r="DF77" s="971">
        <v>12.46</v>
      </c>
      <c r="DG77" s="971">
        <v>11.8</v>
      </c>
      <c r="DH77" s="971">
        <v>13.66</v>
      </c>
      <c r="DI77" s="959"/>
      <c r="DJ77" s="959"/>
      <c r="DK77" s="962" t="str">
        <f t="shared" si="19"/>
        <v xml:space="preserve"> </v>
      </c>
      <c r="DL77" s="967"/>
      <c r="DM77" s="967"/>
      <c r="DN77" s="959"/>
      <c r="DO77" s="959"/>
      <c r="DP77" s="959"/>
      <c r="DQ77" s="959"/>
      <c r="DR77" s="959"/>
      <c r="DS77" s="959"/>
      <c r="DT77" s="972"/>
      <c r="DU77" s="973"/>
      <c r="DV77" s="9"/>
      <c r="DW77" s="9"/>
      <c r="DX77" s="9"/>
      <c r="DY77" s="9"/>
      <c r="DZ77" s="9"/>
      <c r="EA77" s="959"/>
    </row>
    <row r="78" spans="1:131" ht="26.25" x14ac:dyDescent="0.25">
      <c r="A78" s="9" t="s">
        <v>412</v>
      </c>
      <c r="B78" s="9" t="s">
        <v>326</v>
      </c>
      <c r="C78" s="10" t="s">
        <v>413</v>
      </c>
      <c r="D78" s="959" t="s">
        <v>367</v>
      </c>
      <c r="E78" s="9" t="s">
        <v>160</v>
      </c>
      <c r="F78" s="9">
        <f>3/21</f>
        <v>0.14285714285714285</v>
      </c>
      <c r="G78" s="9" t="s">
        <v>456</v>
      </c>
      <c r="H78" s="9">
        <f>16/52</f>
        <v>0.30769230769230771</v>
      </c>
      <c r="I78" s="9">
        <v>21</v>
      </c>
      <c r="J78" s="9">
        <v>2</v>
      </c>
      <c r="K78" s="9">
        <v>1</v>
      </c>
      <c r="L78" s="957">
        <f>J78+K78</f>
        <v>3</v>
      </c>
      <c r="M78" s="958">
        <f t="shared" si="0"/>
        <v>0.54655870445349664</v>
      </c>
      <c r="N78" s="959">
        <v>2</v>
      </c>
      <c r="O78" s="959">
        <v>1</v>
      </c>
      <c r="P78" s="959">
        <v>0</v>
      </c>
      <c r="Q78" s="959">
        <v>23</v>
      </c>
      <c r="R78" s="959">
        <v>14</v>
      </c>
      <c r="S78" s="959">
        <v>23</v>
      </c>
      <c r="T78" s="959">
        <v>14</v>
      </c>
      <c r="U78" s="960">
        <f>IF(Q78&gt;0,J78/Q78,0)</f>
        <v>8.6956521739130432E-2</v>
      </c>
      <c r="V78" s="960">
        <f>IF(SUM(Q78:S78)&gt;0,J78/SUM(Q78:S78),0)</f>
        <v>3.3333333333333333E-2</v>
      </c>
      <c r="W78" s="961">
        <v>329.3333333333</v>
      </c>
      <c r="X78" s="961">
        <f>W78/I78</f>
        <v>15.682539682538096</v>
      </c>
      <c r="Y78" s="961">
        <v>312.95</v>
      </c>
      <c r="Z78" s="961">
        <f>Y78/I78</f>
        <v>14.902380952380952</v>
      </c>
      <c r="AA78" s="961">
        <v>681.92</v>
      </c>
      <c r="AB78" s="961">
        <f>AA78/I78</f>
        <v>32.472380952380952</v>
      </c>
      <c r="AC78" s="962">
        <f t="shared" si="1"/>
        <v>0.31456371184174814</v>
      </c>
      <c r="AD78" s="963">
        <f t="shared" si="2"/>
        <v>10.571428571428571</v>
      </c>
      <c r="AE78">
        <v>12</v>
      </c>
      <c r="AF78" s="959">
        <v>11</v>
      </c>
      <c r="AG78" s="959">
        <v>40</v>
      </c>
      <c r="AH78" s="959">
        <v>8</v>
      </c>
      <c r="AI78" s="959">
        <v>1</v>
      </c>
      <c r="AJ78" s="960">
        <f>IF(N78&gt;0,J78/BU78,0)</f>
        <v>0.14285714285714285</v>
      </c>
      <c r="AK78" s="960">
        <f t="shared" si="3"/>
        <v>7.1428571428571425E-2</v>
      </c>
      <c r="AL78" s="960">
        <f t="shared" si="4"/>
        <v>0.21428571428571427</v>
      </c>
      <c r="AM78" s="959">
        <v>113</v>
      </c>
      <c r="AN78" s="962">
        <f t="shared" si="5"/>
        <v>0.41391941391941389</v>
      </c>
      <c r="AO78" s="959">
        <v>71</v>
      </c>
      <c r="AP78" s="962">
        <f t="shared" si="6"/>
        <v>0.26007326007326009</v>
      </c>
      <c r="AQ78" s="959">
        <v>89</v>
      </c>
      <c r="AR78" s="962">
        <f t="shared" si="7"/>
        <v>0.32600732600732601</v>
      </c>
      <c r="AS78" s="962">
        <f t="shared" si="8"/>
        <v>0.61413043478260865</v>
      </c>
      <c r="AT78" s="959">
        <v>7</v>
      </c>
      <c r="AU78" s="964">
        <v>10.31</v>
      </c>
      <c r="AV78" s="965">
        <v>113</v>
      </c>
      <c r="AW78" s="965">
        <v>127</v>
      </c>
      <c r="AX78" s="965">
        <v>84</v>
      </c>
      <c r="AY78" s="962">
        <f t="shared" si="9"/>
        <v>0.47083333333333333</v>
      </c>
      <c r="AZ78" s="966">
        <v>16.95</v>
      </c>
      <c r="BA78" s="967">
        <v>7</v>
      </c>
      <c r="BB78" s="965">
        <v>-0.67500000000000004</v>
      </c>
      <c r="BC78" s="959">
        <v>6</v>
      </c>
      <c r="BD78" s="968">
        <v>-2.798</v>
      </c>
      <c r="BE78" s="961">
        <v>48.78</v>
      </c>
      <c r="BF78" s="966">
        <v>16.149999999999999</v>
      </c>
      <c r="BG78" s="968">
        <v>1.349</v>
      </c>
      <c r="BH78" s="968">
        <v>7.4240000000000004</v>
      </c>
      <c r="BI78" s="961">
        <v>53.65</v>
      </c>
      <c r="BJ78" s="962">
        <f t="shared" si="10"/>
        <v>9.45945945945946E-2</v>
      </c>
      <c r="BK78" s="969">
        <f t="shared" si="11"/>
        <v>0.94354838709677424</v>
      </c>
      <c r="BL78" s="967">
        <f t="shared" si="12"/>
        <v>1038.142981691369</v>
      </c>
      <c r="BM78" s="962">
        <f t="shared" si="13"/>
        <v>3.8142981691368844E-2</v>
      </c>
      <c r="BN78" s="966">
        <f>BU78/(Z78*I78)*60</f>
        <v>2.6841348458220162</v>
      </c>
      <c r="BO78" s="966">
        <f>BV78/(Z78*I78)*60</f>
        <v>1.3420674229110081</v>
      </c>
      <c r="BP78" s="961">
        <f>(BU78+BW78)/(Z78*I78)*60</f>
        <v>28.375139798689887</v>
      </c>
      <c r="BQ78" s="961">
        <f>(BV78+BX78)/(Z78*I78)*60</f>
        <v>23.773765777280715</v>
      </c>
      <c r="BR78" s="961">
        <f>(BU78+BW78+BY78+CB78)/(Z78*I78)*60</f>
        <v>55.408212174468765</v>
      </c>
      <c r="BS78" s="961">
        <f>(BV78+BX78+BZ78+CA78)/(Z78*I78)*60</f>
        <v>40.453746604888963</v>
      </c>
      <c r="BT78" s="961">
        <f t="shared" si="14"/>
        <v>14.954465569579803</v>
      </c>
      <c r="BU78" s="959">
        <v>14</v>
      </c>
      <c r="BV78" s="959">
        <v>7</v>
      </c>
      <c r="BW78" s="967">
        <v>134</v>
      </c>
      <c r="BX78" s="967">
        <v>117</v>
      </c>
      <c r="BY78" s="967">
        <v>68</v>
      </c>
      <c r="BZ78" s="967">
        <v>30</v>
      </c>
      <c r="CA78" s="967">
        <v>57</v>
      </c>
      <c r="CB78" s="967">
        <v>73</v>
      </c>
      <c r="CC78" s="959">
        <v>133</v>
      </c>
      <c r="CD78" s="959">
        <v>106</v>
      </c>
      <c r="CE78" s="962">
        <f t="shared" si="15"/>
        <v>0.55648535564853552</v>
      </c>
      <c r="CF78" s="964">
        <v>3.05</v>
      </c>
      <c r="CG78" s="970">
        <f t="shared" si="16"/>
        <v>1.9033351347971958</v>
      </c>
      <c r="CH78" s="966">
        <f>CO78/(AB78*I78)*60</f>
        <v>2.0236977944626937</v>
      </c>
      <c r="CI78" s="966">
        <f>CP78/(AB78*I78)*60</f>
        <v>2.2876583763491318</v>
      </c>
      <c r="CJ78" s="966">
        <f>(CO78+CQ78)/(AB78*I78)*60</f>
        <v>26.923979352416705</v>
      </c>
      <c r="CK78" s="966">
        <f>(CP78+CR78)/(AB78*I78)*60</f>
        <v>27.891834819333646</v>
      </c>
      <c r="CL78" s="966">
        <f>(CO78+CQ78+CS78+CV78)/(AB78*I78)*60</f>
        <v>52.792116377287662</v>
      </c>
      <c r="CM78" s="966">
        <f>(CP78+CR78+CT78+CU78)/(AB78*I78)*60</f>
        <v>47.776865321445335</v>
      </c>
      <c r="CN78" s="961">
        <f t="shared" si="17"/>
        <v>9.9392145137374754</v>
      </c>
      <c r="CO78" s="967">
        <v>23</v>
      </c>
      <c r="CP78" s="967">
        <v>26</v>
      </c>
      <c r="CQ78" s="967">
        <v>283</v>
      </c>
      <c r="CR78" s="967">
        <v>291</v>
      </c>
      <c r="CS78" s="967">
        <v>125</v>
      </c>
      <c r="CT78" s="967">
        <v>126</v>
      </c>
      <c r="CU78" s="967">
        <v>100</v>
      </c>
      <c r="CV78" s="967">
        <v>169</v>
      </c>
      <c r="CW78" s="959">
        <v>1</v>
      </c>
      <c r="CX78" s="959">
        <v>1</v>
      </c>
      <c r="CY78" s="967">
        <f t="shared" si="18"/>
        <v>0</v>
      </c>
      <c r="CZ78" s="966">
        <f>CW78/(X78*I78)*60</f>
        <v>0.18218623481783219</v>
      </c>
      <c r="DA78" s="966">
        <f>CX78/(X78*I78)*60</f>
        <v>0.18218623481783219</v>
      </c>
      <c r="DB78" s="966">
        <f>CY78/(X78*I78)*60</f>
        <v>0</v>
      </c>
      <c r="DC78" s="9">
        <v>13</v>
      </c>
      <c r="DD78" s="9">
        <v>9</v>
      </c>
      <c r="DE78" s="971">
        <v>10.41</v>
      </c>
      <c r="DF78" s="971">
        <v>10.78</v>
      </c>
      <c r="DG78" s="971">
        <v>11.57</v>
      </c>
      <c r="DH78" s="971">
        <v>10.73</v>
      </c>
      <c r="DI78" s="959"/>
      <c r="DJ78" s="959"/>
      <c r="DK78" s="962" t="str">
        <f t="shared" si="19"/>
        <v xml:space="preserve"> </v>
      </c>
      <c r="DL78" s="967"/>
      <c r="DM78" s="967"/>
      <c r="DN78" s="959"/>
      <c r="DO78" s="959"/>
      <c r="DP78" s="959"/>
      <c r="DQ78" s="959"/>
      <c r="DR78" s="959"/>
      <c r="DS78" s="959"/>
      <c r="DT78" s="959"/>
      <c r="DU78" s="967"/>
      <c r="DV78" s="959"/>
      <c r="DW78" s="959"/>
      <c r="DX78" s="959"/>
      <c r="DY78" s="959"/>
      <c r="DZ78" s="959"/>
      <c r="EA78" s="9"/>
    </row>
    <row r="79" spans="1:131" ht="39" x14ac:dyDescent="0.25">
      <c r="A79" s="9" t="s">
        <v>414</v>
      </c>
      <c r="B79" s="9" t="s">
        <v>313</v>
      </c>
      <c r="C79" s="10" t="s">
        <v>415</v>
      </c>
      <c r="D79" s="959" t="s">
        <v>243</v>
      </c>
      <c r="E79" s="9" t="s">
        <v>160</v>
      </c>
      <c r="F79" s="9">
        <f>3/23</f>
        <v>0.13043478260869565</v>
      </c>
      <c r="G79" s="9" t="s">
        <v>464</v>
      </c>
      <c r="H79" s="9">
        <f>5/19</f>
        <v>0.26315789473684209</v>
      </c>
      <c r="I79" s="9">
        <v>23</v>
      </c>
      <c r="J79" s="9">
        <v>2</v>
      </c>
      <c r="K79" s="9">
        <v>1</v>
      </c>
      <c r="L79" s="957">
        <f>J79+K79</f>
        <v>3</v>
      </c>
      <c r="M79" s="958">
        <f t="shared" si="0"/>
        <v>0.51603038845615978</v>
      </c>
      <c r="N79" s="959">
        <v>1</v>
      </c>
      <c r="O79" s="959">
        <v>1</v>
      </c>
      <c r="P79" s="959">
        <v>0</v>
      </c>
      <c r="Q79" s="959">
        <v>30</v>
      </c>
      <c r="R79" s="959">
        <v>7</v>
      </c>
      <c r="S79" s="959">
        <v>12</v>
      </c>
      <c r="T79" s="959">
        <v>17</v>
      </c>
      <c r="U79" s="960">
        <f>IF(Q79&gt;0,J79/Q79,0)</f>
        <v>6.6666666666666666E-2</v>
      </c>
      <c r="V79" s="960">
        <f>IF(SUM(Q79:S79)&gt;0,J79/SUM(Q79:S79),0)</f>
        <v>4.0816326530612242E-2</v>
      </c>
      <c r="W79" s="961">
        <v>348.81666666669997</v>
      </c>
      <c r="X79" s="961">
        <f>W79/I79</f>
        <v>15.165942028986956</v>
      </c>
      <c r="Y79" s="961">
        <v>331.57</v>
      </c>
      <c r="Z79" s="961">
        <f>Y79/I79</f>
        <v>14.416086956521738</v>
      </c>
      <c r="AA79" s="961">
        <v>761.77</v>
      </c>
      <c r="AB79" s="961">
        <f>AA79/I79</f>
        <v>33.120434782608697</v>
      </c>
      <c r="AC79" s="962">
        <f t="shared" si="1"/>
        <v>0.30326339473539793</v>
      </c>
      <c r="AD79" s="963">
        <f t="shared" si="2"/>
        <v>14.555555555555555</v>
      </c>
      <c r="AE79">
        <v>20</v>
      </c>
      <c r="AF79" s="959">
        <v>22</v>
      </c>
      <c r="AG79" s="959">
        <v>62</v>
      </c>
      <c r="AH79" s="959">
        <v>3</v>
      </c>
      <c r="AI79" s="959">
        <v>5</v>
      </c>
      <c r="AJ79" s="960">
        <f>IF(N79&gt;0,J79/BU79,0)</f>
        <v>0.22222222222222221</v>
      </c>
      <c r="AK79" s="960">
        <f t="shared" si="3"/>
        <v>0.1111111111111111</v>
      </c>
      <c r="AL79" s="960">
        <f t="shared" si="4"/>
        <v>0.33333333333333331</v>
      </c>
      <c r="AM79" s="959">
        <v>105</v>
      </c>
      <c r="AN79" s="962">
        <f t="shared" si="5"/>
        <v>0.34313725490196079</v>
      </c>
      <c r="AO79" s="959">
        <v>98</v>
      </c>
      <c r="AP79" s="962">
        <f t="shared" si="6"/>
        <v>0.3202614379084967</v>
      </c>
      <c r="AQ79" s="959">
        <v>103</v>
      </c>
      <c r="AR79" s="962">
        <f t="shared" si="7"/>
        <v>0.33660130718954251</v>
      </c>
      <c r="AS79" s="962">
        <f t="shared" si="8"/>
        <v>0.51724137931034486</v>
      </c>
      <c r="AT79" s="959">
        <v>5</v>
      </c>
      <c r="AU79" s="964">
        <v>4.49</v>
      </c>
      <c r="AV79" s="965">
        <v>124</v>
      </c>
      <c r="AW79" s="965">
        <v>123</v>
      </c>
      <c r="AX79" s="965">
        <v>95</v>
      </c>
      <c r="AY79" s="962">
        <f t="shared" si="9"/>
        <v>0.50202429149797567</v>
      </c>
      <c r="AZ79" s="966">
        <v>17.239999999999998</v>
      </c>
      <c r="BA79" s="967">
        <v>7</v>
      </c>
      <c r="BB79" s="965">
        <v>0.26</v>
      </c>
      <c r="BC79" s="959">
        <v>5</v>
      </c>
      <c r="BD79" s="968">
        <v>1.403</v>
      </c>
      <c r="BE79" s="961">
        <v>50.62</v>
      </c>
      <c r="BF79" s="966">
        <v>16.55</v>
      </c>
      <c r="BG79" s="968">
        <v>0.23600000000000002</v>
      </c>
      <c r="BH79" s="968">
        <v>3.91</v>
      </c>
      <c r="BI79" s="961">
        <v>51.2</v>
      </c>
      <c r="BJ79" s="962">
        <f t="shared" si="10"/>
        <v>6.8702290076335881E-2</v>
      </c>
      <c r="BK79" s="969">
        <f t="shared" si="11"/>
        <v>0.91489361702127658</v>
      </c>
      <c r="BL79" s="967">
        <f t="shared" si="12"/>
        <v>983.59590709761244</v>
      </c>
      <c r="BM79" s="962">
        <f t="shared" si="13"/>
        <v>-1.6404092902387535E-2</v>
      </c>
      <c r="BN79" s="966">
        <f>BU79/(Z79*I79)*60</f>
        <v>1.6286153753355248</v>
      </c>
      <c r="BO79" s="966">
        <f>BV79/(Z79*I79)*60</f>
        <v>2.1714871671140337</v>
      </c>
      <c r="BP79" s="961">
        <f>(BU79+BW79)/(Z79*I79)*60</f>
        <v>23.705401574328199</v>
      </c>
      <c r="BQ79" s="961">
        <f>(BV79+BX79)/(Z79*I79)*60</f>
        <v>25.514974213589891</v>
      </c>
      <c r="BR79" s="961">
        <f>(BU79+BW79+BY79+CB79)/(Z79*I79)*60</f>
        <v>50.125162107548931</v>
      </c>
      <c r="BS79" s="961">
        <f>(BV79+BX79+BZ79+CA79)/(Z79*I79)*60</f>
        <v>49.401333051844261</v>
      </c>
      <c r="BT79" s="961">
        <f t="shared" si="14"/>
        <v>0.7238290557046696</v>
      </c>
      <c r="BU79" s="959">
        <v>9</v>
      </c>
      <c r="BV79" s="959">
        <v>12</v>
      </c>
      <c r="BW79" s="967">
        <v>122</v>
      </c>
      <c r="BX79" s="967">
        <v>129</v>
      </c>
      <c r="BY79" s="967">
        <v>64</v>
      </c>
      <c r="BZ79" s="967">
        <v>55</v>
      </c>
      <c r="CA79" s="967">
        <v>77</v>
      </c>
      <c r="CB79" s="967">
        <v>82</v>
      </c>
      <c r="CC79" s="959">
        <v>139</v>
      </c>
      <c r="CD79" s="959">
        <v>135</v>
      </c>
      <c r="CE79" s="962">
        <f t="shared" si="15"/>
        <v>0.50729927007299269</v>
      </c>
      <c r="CF79" s="964">
        <v>-0.21</v>
      </c>
      <c r="CG79" s="970">
        <f t="shared" si="16"/>
        <v>-2.2869640477436075</v>
      </c>
      <c r="CH79" s="966">
        <f>CO79/(AB79*I79)*60</f>
        <v>3.3080851175551675</v>
      </c>
      <c r="CI79" s="966">
        <f>CP79/(AB79*I79)*60</f>
        <v>2.2053900783701117</v>
      </c>
      <c r="CJ79" s="966">
        <f>(CO79+CQ79)/(AB79*I79)*60</f>
        <v>31.505572548144457</v>
      </c>
      <c r="CK79" s="966">
        <f>(CP79+CR79)/(AB79*I79)*60</f>
        <v>26.622208803182062</v>
      </c>
      <c r="CL79" s="966">
        <f>(CO79+CQ79+CS79+CV79)/(AB79*I79)*60</f>
        <v>57.103850243511822</v>
      </c>
      <c r="CM79" s="966">
        <f>(CP79+CR79+CT79+CU79)/(AB79*I79)*60</f>
        <v>53.244417606364124</v>
      </c>
      <c r="CN79" s="961">
        <f t="shared" si="17"/>
        <v>-3.1356035814430285</v>
      </c>
      <c r="CO79" s="967">
        <v>42</v>
      </c>
      <c r="CP79" s="967">
        <v>28</v>
      </c>
      <c r="CQ79" s="967">
        <v>358</v>
      </c>
      <c r="CR79" s="967">
        <v>310</v>
      </c>
      <c r="CS79" s="967">
        <v>145</v>
      </c>
      <c r="CT79" s="967">
        <v>141</v>
      </c>
      <c r="CU79" s="967">
        <v>197</v>
      </c>
      <c r="CV79" s="967">
        <v>180</v>
      </c>
      <c r="CW79" s="959">
        <v>6</v>
      </c>
      <c r="CX79" s="959">
        <v>3</v>
      </c>
      <c r="CY79" s="967">
        <f t="shared" si="18"/>
        <v>-3</v>
      </c>
      <c r="CZ79" s="966">
        <f>CW79/(X79*I79)*60</f>
        <v>1.0320607769123196</v>
      </c>
      <c r="DA79" s="966">
        <f>CX79/(X79*I79)*60</f>
        <v>0.51603038845615978</v>
      </c>
      <c r="DB79" s="966">
        <f>CY79/(X79*I79)*60</f>
        <v>-0.51603038845615978</v>
      </c>
      <c r="DC79" s="9">
        <v>10</v>
      </c>
      <c r="DD79" s="9">
        <v>11</v>
      </c>
      <c r="DE79" s="971">
        <v>13.78</v>
      </c>
      <c r="DF79" s="971">
        <v>11.28</v>
      </c>
      <c r="DG79" s="971">
        <v>13.33</v>
      </c>
      <c r="DH79" s="971">
        <v>11.89</v>
      </c>
      <c r="DI79" s="959"/>
      <c r="DJ79" s="959"/>
      <c r="DK79" s="962" t="str">
        <f t="shared" si="19"/>
        <v xml:space="preserve"> </v>
      </c>
      <c r="DL79" s="967"/>
      <c r="DM79" s="967"/>
      <c r="DN79" s="959"/>
      <c r="DO79" s="959"/>
      <c r="DP79" s="959"/>
      <c r="DQ79" s="959"/>
      <c r="DR79" s="959"/>
      <c r="DS79" s="959"/>
      <c r="DT79" s="959"/>
      <c r="DU79" s="967"/>
      <c r="DV79" s="959"/>
      <c r="DW79" s="959"/>
      <c r="DX79" s="959"/>
      <c r="DY79" s="959"/>
      <c r="DZ79" s="959"/>
      <c r="EA79" s="9"/>
    </row>
    <row r="80" spans="1:131" ht="26.25" x14ac:dyDescent="0.25">
      <c r="A80" s="9" t="s">
        <v>416</v>
      </c>
      <c r="B80" s="9" t="s">
        <v>287</v>
      </c>
      <c r="C80" s="10" t="s">
        <v>417</v>
      </c>
      <c r="D80" s="959" t="s">
        <v>260</v>
      </c>
      <c r="E80" s="9" t="s">
        <v>146</v>
      </c>
      <c r="F80" s="9">
        <f>3/18</f>
        <v>0.16666666666666666</v>
      </c>
      <c r="G80" s="9" t="s">
        <v>456</v>
      </c>
      <c r="H80" s="9">
        <f>35/76</f>
        <v>0.46052631578947367</v>
      </c>
      <c r="I80" s="9">
        <v>18</v>
      </c>
      <c r="J80" s="9">
        <v>2</v>
      </c>
      <c r="K80" s="9">
        <v>1</v>
      </c>
      <c r="L80" s="957">
        <f>J80+K80</f>
        <v>3</v>
      </c>
      <c r="M80" s="958">
        <f t="shared" si="0"/>
        <v>1.1826544021024967</v>
      </c>
      <c r="N80" s="959">
        <v>1</v>
      </c>
      <c r="O80" s="959">
        <v>0</v>
      </c>
      <c r="P80" s="959">
        <v>1</v>
      </c>
      <c r="Q80" s="959">
        <v>13</v>
      </c>
      <c r="R80" s="959">
        <v>10</v>
      </c>
      <c r="S80" s="959">
        <v>4</v>
      </c>
      <c r="T80" s="959">
        <v>15</v>
      </c>
      <c r="U80" s="960">
        <f>IF(Q80&gt;0,J80/Q80,0)</f>
        <v>0.15384615384615385</v>
      </c>
      <c r="V80" s="960">
        <f>IF(SUM(Q80:S80)&gt;0,J80/SUM(Q80:S80),0)</f>
        <v>7.407407407407407E-2</v>
      </c>
      <c r="W80" s="961">
        <v>152.19999999999999</v>
      </c>
      <c r="X80" s="961">
        <f>W80/I80</f>
        <v>8.4555555555555557</v>
      </c>
      <c r="Y80" s="961">
        <v>156.69</v>
      </c>
      <c r="Z80" s="961">
        <f>Y80/I80</f>
        <v>8.7050000000000001</v>
      </c>
      <c r="AA80" s="961">
        <v>704.46</v>
      </c>
      <c r="AB80" s="961">
        <f>AA80/I80</f>
        <v>39.13666666666667</v>
      </c>
      <c r="AC80" s="962">
        <f t="shared" si="1"/>
        <v>0.18195436335133253</v>
      </c>
      <c r="AD80" s="963">
        <f t="shared" si="2"/>
        <v>0</v>
      </c>
      <c r="AE80">
        <v>0</v>
      </c>
      <c r="AF80" s="959">
        <v>33</v>
      </c>
      <c r="AG80" s="959">
        <v>18</v>
      </c>
      <c r="AH80" s="959">
        <v>4</v>
      </c>
      <c r="AI80" s="959">
        <v>7</v>
      </c>
      <c r="AJ80" s="960">
        <f>IF(N80&gt;0,J80/BU80,0)</f>
        <v>1</v>
      </c>
      <c r="AK80" s="960">
        <f t="shared" si="3"/>
        <v>0.5</v>
      </c>
      <c r="AL80" s="960">
        <f t="shared" si="4"/>
        <v>1.5</v>
      </c>
      <c r="AM80" s="959">
        <v>41</v>
      </c>
      <c r="AN80" s="962">
        <f t="shared" si="5"/>
        <v>0.41414141414141414</v>
      </c>
      <c r="AO80" s="959">
        <v>28</v>
      </c>
      <c r="AP80" s="962">
        <f t="shared" si="6"/>
        <v>0.28282828282828282</v>
      </c>
      <c r="AQ80" s="959">
        <v>30</v>
      </c>
      <c r="AR80" s="962">
        <f t="shared" si="7"/>
        <v>0.30303030303030304</v>
      </c>
      <c r="AS80" s="962">
        <f t="shared" si="8"/>
        <v>0.59420289855072461</v>
      </c>
      <c r="AT80" s="959">
        <v>14</v>
      </c>
      <c r="AU80" s="964">
        <v>9.3000000000000007</v>
      </c>
      <c r="AV80" s="965">
        <v>65</v>
      </c>
      <c r="AW80" s="965">
        <v>52</v>
      </c>
      <c r="AX80" s="965">
        <v>39</v>
      </c>
      <c r="AY80" s="962">
        <f t="shared" si="9"/>
        <v>0.55555555555555558</v>
      </c>
      <c r="AZ80" s="966">
        <v>16.62</v>
      </c>
      <c r="BA80" s="967">
        <v>12</v>
      </c>
      <c r="BB80" s="965">
        <v>-0.48699999999999999</v>
      </c>
      <c r="BC80" s="959">
        <v>11</v>
      </c>
      <c r="BD80" s="968">
        <v>-2.38</v>
      </c>
      <c r="BE80" s="961">
        <v>49.12</v>
      </c>
      <c r="BF80" s="966">
        <v>17</v>
      </c>
      <c r="BG80" s="968">
        <v>-3.7909999999999999</v>
      </c>
      <c r="BH80" s="968">
        <v>6.9980000000000002</v>
      </c>
      <c r="BI80" s="961">
        <v>53.4</v>
      </c>
      <c r="BJ80" s="962">
        <f t="shared" si="10"/>
        <v>3.2258064516129031E-2</v>
      </c>
      <c r="BK80" s="969">
        <f t="shared" si="11"/>
        <v>0.9726027397260274</v>
      </c>
      <c r="BL80" s="967">
        <f t="shared" si="12"/>
        <v>1004.8608042421564</v>
      </c>
      <c r="BM80" s="962">
        <f t="shared" si="13"/>
        <v>4.8608042421564301E-3</v>
      </c>
      <c r="BN80" s="966">
        <f>BU80/(Z80*I80)*60</f>
        <v>0.76584338502776184</v>
      </c>
      <c r="BO80" s="966">
        <f>BV80/(Z80*I80)*60</f>
        <v>0.76584338502776184</v>
      </c>
      <c r="BP80" s="961">
        <f>(BU80+BW80)/(Z80*I80)*60</f>
        <v>23.741144935860618</v>
      </c>
      <c r="BQ80" s="961">
        <f>(BV80+BX80)/(Z80*I80)*60</f>
        <v>27.953283553513309</v>
      </c>
      <c r="BR80" s="961">
        <f>(BU80+BW80+BY80+CB80)/(Z80*I80)*60</f>
        <v>47.099368179207353</v>
      </c>
      <c r="BS80" s="961">
        <f>(BV80+BX80+BZ80+CA80)/(Z80*I80)*60</f>
        <v>52.077350181887809</v>
      </c>
      <c r="BT80" s="961">
        <f t="shared" si="14"/>
        <v>-4.9779820026804558</v>
      </c>
      <c r="BU80" s="959">
        <v>2</v>
      </c>
      <c r="BV80" s="959">
        <v>2</v>
      </c>
      <c r="BW80" s="967">
        <v>60</v>
      </c>
      <c r="BX80" s="967">
        <v>71</v>
      </c>
      <c r="BY80" s="967">
        <v>27</v>
      </c>
      <c r="BZ80" s="967">
        <v>34</v>
      </c>
      <c r="CA80" s="967">
        <v>29</v>
      </c>
      <c r="CB80" s="967">
        <v>34</v>
      </c>
      <c r="CC80" s="959">
        <v>50</v>
      </c>
      <c r="CD80" s="959">
        <v>71</v>
      </c>
      <c r="CE80" s="962">
        <f t="shared" si="15"/>
        <v>0.41322314049586778</v>
      </c>
      <c r="CF80" s="964">
        <v>-9.34</v>
      </c>
      <c r="CG80" s="970">
        <f t="shared" si="16"/>
        <v>-16.706851567897846</v>
      </c>
      <c r="CH80" s="966">
        <f>CO80/(AB80*I80)*60</f>
        <v>1.8737756579507707</v>
      </c>
      <c r="CI80" s="966">
        <f>CP80/(AB80*I80)*60</f>
        <v>2.0441188995826587</v>
      </c>
      <c r="CJ80" s="966">
        <f>(CO80+CQ80)/(AB80*I80)*60</f>
        <v>30.746955114555831</v>
      </c>
      <c r="CK80" s="966">
        <f>(CP80+CR80)/(AB80*I80)*60</f>
        <v>27.680776765181843</v>
      </c>
      <c r="CL80" s="966">
        <f>(CO80+CQ80+CS80+CV80)/(AB80*I80)*60</f>
        <v>59.705306191976831</v>
      </c>
      <c r="CM80" s="966">
        <f>(CP80+CR80+CT80+CU80)/(AB80*I80)*60</f>
        <v>49.399540073247593</v>
      </c>
      <c r="CN80" s="961">
        <f t="shared" si="17"/>
        <v>-15.283748121409694</v>
      </c>
      <c r="CO80" s="967">
        <v>22</v>
      </c>
      <c r="CP80" s="967">
        <v>24</v>
      </c>
      <c r="CQ80" s="967">
        <v>339</v>
      </c>
      <c r="CR80" s="967">
        <v>301</v>
      </c>
      <c r="CS80" s="967">
        <v>163</v>
      </c>
      <c r="CT80" s="967">
        <v>127</v>
      </c>
      <c r="CU80" s="967">
        <v>128</v>
      </c>
      <c r="CV80" s="967">
        <v>177</v>
      </c>
      <c r="CW80" s="959">
        <v>3</v>
      </c>
      <c r="CX80" s="959">
        <v>0</v>
      </c>
      <c r="CY80" s="967">
        <f t="shared" si="18"/>
        <v>-3</v>
      </c>
      <c r="CZ80" s="966">
        <f>CW80/(X80*I80)*60</f>
        <v>1.1826544021024967</v>
      </c>
      <c r="DA80" s="966">
        <f>CX80/(X80*I80)*60</f>
        <v>0</v>
      </c>
      <c r="DB80" s="966">
        <f>CY80/(X80*I80)*60</f>
        <v>-1.1826544021024967</v>
      </c>
      <c r="DC80" s="9">
        <v>5</v>
      </c>
      <c r="DD80" s="9">
        <v>6</v>
      </c>
      <c r="DE80" s="971">
        <v>5.22</v>
      </c>
      <c r="DF80" s="971">
        <v>5.04</v>
      </c>
      <c r="DG80" s="971">
        <v>5.4</v>
      </c>
      <c r="DH80" s="971">
        <v>5.7</v>
      </c>
      <c r="DI80" s="9">
        <v>32</v>
      </c>
      <c r="DJ80" s="9">
        <v>29</v>
      </c>
      <c r="DK80" s="962">
        <f t="shared" si="19"/>
        <v>0.52459016393442626</v>
      </c>
      <c r="DL80" s="967">
        <v>28</v>
      </c>
      <c r="DM80" s="967">
        <v>11</v>
      </c>
      <c r="DN80" s="9">
        <v>5</v>
      </c>
      <c r="DO80" s="9">
        <v>0</v>
      </c>
      <c r="DP80" s="9">
        <v>0.17899999999999999</v>
      </c>
      <c r="DQ80" s="9">
        <v>0</v>
      </c>
      <c r="DR80" s="9">
        <v>0</v>
      </c>
      <c r="DS80" s="9">
        <v>0</v>
      </c>
      <c r="DT80" s="9">
        <v>15</v>
      </c>
      <c r="DU80" s="973">
        <v>11</v>
      </c>
      <c r="DV80" s="9">
        <v>0</v>
      </c>
      <c r="DW80" s="9">
        <v>2</v>
      </c>
      <c r="DX80" s="9">
        <v>-0.13300000000000001</v>
      </c>
      <c r="DY80" s="9">
        <v>0</v>
      </c>
      <c r="DZ80" s="9">
        <v>0</v>
      </c>
      <c r="EA80" s="9">
        <v>0</v>
      </c>
    </row>
    <row r="81" spans="1:131" ht="39" x14ac:dyDescent="0.25">
      <c r="A81" s="9" t="s">
        <v>418</v>
      </c>
      <c r="B81" s="9" t="s">
        <v>288</v>
      </c>
      <c r="C81" s="10" t="s">
        <v>419</v>
      </c>
      <c r="D81" s="959" t="s">
        <v>383</v>
      </c>
      <c r="E81" s="9" t="s">
        <v>132</v>
      </c>
      <c r="F81" s="9">
        <f>3/12</f>
        <v>0.25</v>
      </c>
      <c r="G81" s="9" t="s">
        <v>456</v>
      </c>
      <c r="H81" s="9">
        <f>43/60</f>
        <v>0.71666666666666667</v>
      </c>
      <c r="I81" s="9">
        <v>12</v>
      </c>
      <c r="J81" s="9">
        <v>2</v>
      </c>
      <c r="K81" s="9">
        <v>1</v>
      </c>
      <c r="L81" s="957">
        <f>J81+K81</f>
        <v>3</v>
      </c>
      <c r="M81" s="958">
        <f t="shared" si="0"/>
        <v>1.9064430714909422</v>
      </c>
      <c r="N81" s="959">
        <v>2</v>
      </c>
      <c r="O81" s="959">
        <v>1</v>
      </c>
      <c r="P81" s="959">
        <v>0</v>
      </c>
      <c r="Q81" s="959">
        <v>9</v>
      </c>
      <c r="R81" s="959">
        <v>1</v>
      </c>
      <c r="S81" s="959">
        <v>6</v>
      </c>
      <c r="T81" s="959">
        <v>8</v>
      </c>
      <c r="U81" s="960">
        <f>IF(Q81&gt;0,J81/Q81,0)</f>
        <v>0.22222222222222221</v>
      </c>
      <c r="V81" s="960">
        <f>IF(SUM(Q81:S81)&gt;0,J81/SUM(Q81:S81),0)</f>
        <v>0.125</v>
      </c>
      <c r="W81" s="961">
        <v>94.416666666699996</v>
      </c>
      <c r="X81" s="961">
        <f>W81/I81</f>
        <v>7.8680555555583327</v>
      </c>
      <c r="Y81" s="961">
        <v>91.39</v>
      </c>
      <c r="Z81" s="961">
        <f>Y81/I81</f>
        <v>7.6158333333333337</v>
      </c>
      <c r="AA81" s="961">
        <v>477.54</v>
      </c>
      <c r="AB81" s="961">
        <f>AA81/I81</f>
        <v>39.795000000000002</v>
      </c>
      <c r="AC81" s="962">
        <f t="shared" si="1"/>
        <v>0.16063487599528939</v>
      </c>
      <c r="AD81" s="963">
        <f t="shared" si="2"/>
        <v>8</v>
      </c>
      <c r="AE81">
        <v>4</v>
      </c>
      <c r="AF81" s="959">
        <v>4</v>
      </c>
      <c r="AG81" s="959">
        <v>11</v>
      </c>
      <c r="AH81" s="959">
        <v>1</v>
      </c>
      <c r="AI81" s="959">
        <v>1</v>
      </c>
      <c r="AJ81" s="960">
        <f>IF(N81&gt;0,J81/BU81,0)</f>
        <v>0.4</v>
      </c>
      <c r="AK81" s="960">
        <f t="shared" si="3"/>
        <v>0.2</v>
      </c>
      <c r="AL81" s="960">
        <f t="shared" si="4"/>
        <v>0.60000000000000009</v>
      </c>
      <c r="AM81" s="959">
        <v>29</v>
      </c>
      <c r="AN81" s="962">
        <f t="shared" si="5"/>
        <v>0.40845070422535212</v>
      </c>
      <c r="AO81" s="959">
        <v>20</v>
      </c>
      <c r="AP81" s="962">
        <f t="shared" si="6"/>
        <v>0.28169014084507044</v>
      </c>
      <c r="AQ81" s="959">
        <v>22</v>
      </c>
      <c r="AR81" s="962">
        <f t="shared" si="7"/>
        <v>0.30985915492957744</v>
      </c>
      <c r="AS81" s="962">
        <f t="shared" si="8"/>
        <v>0.59183673469387754</v>
      </c>
      <c r="AT81" s="959">
        <v>13</v>
      </c>
      <c r="AU81" s="964">
        <v>16.329999999999998</v>
      </c>
      <c r="AV81" s="965">
        <v>28</v>
      </c>
      <c r="AW81" s="965">
        <v>41</v>
      </c>
      <c r="AX81" s="965">
        <v>28</v>
      </c>
      <c r="AY81" s="962">
        <f t="shared" si="9"/>
        <v>0.40579710144927539</v>
      </c>
      <c r="AZ81" s="966">
        <v>17</v>
      </c>
      <c r="BA81" s="967">
        <v>12</v>
      </c>
      <c r="BB81" s="965">
        <v>-0.71099999999999997</v>
      </c>
      <c r="BC81" s="959">
        <v>14</v>
      </c>
      <c r="BD81" s="968">
        <v>2.8580000000000001</v>
      </c>
      <c r="BE81" s="961">
        <v>51.04</v>
      </c>
      <c r="BF81" s="966">
        <v>17.28</v>
      </c>
      <c r="BG81" s="968">
        <v>-2.016</v>
      </c>
      <c r="BH81" s="968">
        <v>-4.9989999999999997</v>
      </c>
      <c r="BI81" s="961">
        <v>47.19</v>
      </c>
      <c r="BJ81" s="962">
        <f t="shared" si="10"/>
        <v>0.125</v>
      </c>
      <c r="BK81" s="969">
        <f t="shared" si="11"/>
        <v>0.9285714285714286</v>
      </c>
      <c r="BL81" s="967">
        <f t="shared" si="12"/>
        <v>1053.5714285714284</v>
      </c>
      <c r="BM81" s="962">
        <f t="shared" si="13"/>
        <v>5.3571428571428603E-2</v>
      </c>
      <c r="BN81" s="966">
        <f>BU81/(Z81*I81)*60</f>
        <v>3.2826348615822298</v>
      </c>
      <c r="BO81" s="966">
        <f>BV81/(Z81*I81)*60</f>
        <v>1.9695809169493381</v>
      </c>
      <c r="BP81" s="961">
        <f>(BU81+BW81)/(Z81*I81)*60</f>
        <v>26.261078892657839</v>
      </c>
      <c r="BQ81" s="961">
        <f>(BV81+BX81)/(Z81*I81)*60</f>
        <v>27.57413283729073</v>
      </c>
      <c r="BR81" s="961">
        <f>(BU81+BW81+BY81+CB81)/(Z81*I81)*60</f>
        <v>43.330780172885433</v>
      </c>
      <c r="BS81" s="961">
        <f>(BV81+BX81+BZ81+CA81)/(Z81*I81)*60</f>
        <v>53.178684757632126</v>
      </c>
      <c r="BT81" s="961">
        <f t="shared" si="14"/>
        <v>-9.8479045847466935</v>
      </c>
      <c r="BU81" s="959">
        <v>5</v>
      </c>
      <c r="BV81" s="959">
        <v>3</v>
      </c>
      <c r="BW81" s="967">
        <v>35</v>
      </c>
      <c r="BX81" s="967">
        <v>39</v>
      </c>
      <c r="BY81" s="967">
        <v>12</v>
      </c>
      <c r="BZ81" s="967">
        <v>21</v>
      </c>
      <c r="CA81" s="967">
        <v>18</v>
      </c>
      <c r="CB81" s="967">
        <v>14</v>
      </c>
      <c r="CC81" s="959">
        <v>27</v>
      </c>
      <c r="CD81" s="959">
        <v>46</v>
      </c>
      <c r="CE81" s="962">
        <f t="shared" si="15"/>
        <v>0.36986301369863012</v>
      </c>
      <c r="CF81" s="964">
        <v>-7.51</v>
      </c>
      <c r="CG81" s="970">
        <f t="shared" si="16"/>
        <v>-4.284986217399755</v>
      </c>
      <c r="CH81" s="966">
        <f>CO81/(AB81*I81)*60</f>
        <v>3.3923859781379568</v>
      </c>
      <c r="CI81" s="966">
        <f>CP81/(AB81*I81)*60</f>
        <v>1.1307953260459855</v>
      </c>
      <c r="CJ81" s="966">
        <f>(CO81+CQ81)/(AB81*I81)*60</f>
        <v>24.877497173011683</v>
      </c>
      <c r="CK81" s="966">
        <f>(CP81+CR81)/(AB81*I81)*60</f>
        <v>29.777610252544289</v>
      </c>
      <c r="CL81" s="966">
        <f>(CO81+CQ81+CS81+CV81)/(AB81*I81)*60</f>
        <v>48.875486870209819</v>
      </c>
      <c r="CM81" s="966">
        <f>(CP81+CR81+CT81+CU81)/(AB81*I81)*60</f>
        <v>61.188591531599442</v>
      </c>
      <c r="CN81" s="961">
        <f t="shared" si="17"/>
        <v>2.4652000766429296</v>
      </c>
      <c r="CO81" s="967">
        <v>27</v>
      </c>
      <c r="CP81" s="967">
        <v>9</v>
      </c>
      <c r="CQ81" s="967">
        <v>171</v>
      </c>
      <c r="CR81" s="967">
        <v>228</v>
      </c>
      <c r="CS81" s="967">
        <v>80</v>
      </c>
      <c r="CT81" s="967">
        <v>96</v>
      </c>
      <c r="CU81" s="967">
        <v>154</v>
      </c>
      <c r="CV81" s="967">
        <v>111</v>
      </c>
      <c r="CW81" s="959">
        <v>0</v>
      </c>
      <c r="CX81" s="959">
        <v>0</v>
      </c>
      <c r="CY81" s="967">
        <f t="shared" si="18"/>
        <v>0</v>
      </c>
      <c r="CZ81" s="966">
        <f>CW81/(X81*I81)*60</f>
        <v>0</v>
      </c>
      <c r="DA81" s="966">
        <f>CX81/(X81*I81)*60</f>
        <v>0</v>
      </c>
      <c r="DB81" s="966">
        <f>CY81/(X81*I81)*60</f>
        <v>0</v>
      </c>
      <c r="DC81" s="9">
        <v>3</v>
      </c>
      <c r="DD81" s="9">
        <v>3</v>
      </c>
      <c r="DE81" s="971">
        <v>3.18</v>
      </c>
      <c r="DF81" s="971">
        <v>2.65</v>
      </c>
      <c r="DG81" s="971">
        <v>3.26</v>
      </c>
      <c r="DH81" s="971">
        <v>3.62</v>
      </c>
      <c r="DI81" s="9">
        <v>3</v>
      </c>
      <c r="DJ81" s="9">
        <v>11</v>
      </c>
      <c r="DK81" s="962">
        <f t="shared" si="19"/>
        <v>0.21428571428571427</v>
      </c>
      <c r="DL81" s="967">
        <v>8</v>
      </c>
      <c r="DM81" s="967">
        <v>2</v>
      </c>
      <c r="DN81" s="9">
        <v>0</v>
      </c>
      <c r="DO81" s="9">
        <v>0</v>
      </c>
      <c r="DP81" s="9">
        <v>0</v>
      </c>
      <c r="DQ81" s="9">
        <v>0</v>
      </c>
      <c r="DR81" s="9">
        <v>0</v>
      </c>
      <c r="DS81" s="9">
        <v>0</v>
      </c>
      <c r="DT81" s="9">
        <v>3</v>
      </c>
      <c r="DU81" s="973">
        <v>0</v>
      </c>
      <c r="DV81" s="9">
        <v>0</v>
      </c>
      <c r="DW81" s="9">
        <v>3</v>
      </c>
      <c r="DX81" s="9">
        <v>-1</v>
      </c>
      <c r="DY81" s="9">
        <v>0</v>
      </c>
      <c r="DZ81" s="9">
        <v>0</v>
      </c>
      <c r="EA81" s="9">
        <v>0</v>
      </c>
    </row>
    <row r="82" spans="1:131" ht="26.25" x14ac:dyDescent="0.25">
      <c r="A82" s="9" t="s">
        <v>264</v>
      </c>
      <c r="B82" s="9" t="s">
        <v>331</v>
      </c>
      <c r="C82" s="10" t="s">
        <v>420</v>
      </c>
      <c r="D82" s="959" t="s">
        <v>131</v>
      </c>
      <c r="E82" s="9" t="s">
        <v>137</v>
      </c>
      <c r="F82" s="9">
        <f>3/13</f>
        <v>0.23076923076923078</v>
      </c>
      <c r="G82" s="9" t="s">
        <v>456</v>
      </c>
      <c r="H82" s="9">
        <f>32/51</f>
        <v>0.62745098039215685</v>
      </c>
      <c r="I82" s="9">
        <v>13</v>
      </c>
      <c r="J82" s="9">
        <v>2</v>
      </c>
      <c r="K82" s="9">
        <v>1</v>
      </c>
      <c r="L82" s="957">
        <f>J82+K82</f>
        <v>3</v>
      </c>
      <c r="M82" s="958">
        <f t="shared" si="0"/>
        <v>1.7324350336862366</v>
      </c>
      <c r="N82" s="959">
        <v>2</v>
      </c>
      <c r="O82" s="959">
        <v>0</v>
      </c>
      <c r="P82" s="959">
        <v>1</v>
      </c>
      <c r="Q82" s="959">
        <v>14</v>
      </c>
      <c r="R82" s="959">
        <v>7</v>
      </c>
      <c r="S82" s="959">
        <v>5</v>
      </c>
      <c r="T82" s="959">
        <v>20</v>
      </c>
      <c r="U82" s="960">
        <f>IF(Q82&gt;0,J82/Q82,0)</f>
        <v>0.14285714285714285</v>
      </c>
      <c r="V82" s="960">
        <f>IF(SUM(Q82:S82)&gt;0,J82/SUM(Q82:S82),0)</f>
        <v>7.6923076923076927E-2</v>
      </c>
      <c r="W82" s="961">
        <v>103.9</v>
      </c>
      <c r="X82" s="961">
        <f>W82/I82</f>
        <v>7.9923076923076923</v>
      </c>
      <c r="Y82" s="961">
        <v>105.59</v>
      </c>
      <c r="Z82" s="961">
        <f>Y82/I82</f>
        <v>8.1223076923076931</v>
      </c>
      <c r="AA82" s="961">
        <v>517.29999999999995</v>
      </c>
      <c r="AB82" s="961">
        <f>AA82/I82</f>
        <v>39.792307692307688</v>
      </c>
      <c r="AC82" s="962">
        <f t="shared" si="1"/>
        <v>0.16951628698486093</v>
      </c>
      <c r="AD82" s="963">
        <f t="shared" si="2"/>
        <v>0</v>
      </c>
      <c r="AE82">
        <v>1</v>
      </c>
      <c r="AF82" s="959">
        <v>9</v>
      </c>
      <c r="AG82" s="959">
        <v>12</v>
      </c>
      <c r="AH82" s="959">
        <v>0</v>
      </c>
      <c r="AI82" s="959">
        <v>3</v>
      </c>
      <c r="AJ82" s="960">
        <f>IF(N82&gt;0,J82/BU82,0)</f>
        <v>0.2857142857142857</v>
      </c>
      <c r="AK82" s="960">
        <f t="shared" si="3"/>
        <v>0.14285714285714285</v>
      </c>
      <c r="AL82" s="960">
        <f t="shared" si="4"/>
        <v>0.42857142857142855</v>
      </c>
      <c r="AM82" s="959">
        <v>41</v>
      </c>
      <c r="AN82" s="962">
        <f t="shared" si="5"/>
        <v>0.37962962962962965</v>
      </c>
      <c r="AO82" s="959">
        <v>32</v>
      </c>
      <c r="AP82" s="962">
        <f t="shared" si="6"/>
        <v>0.29629629629629628</v>
      </c>
      <c r="AQ82" s="959">
        <v>35</v>
      </c>
      <c r="AR82" s="962">
        <f t="shared" si="7"/>
        <v>0.32407407407407407</v>
      </c>
      <c r="AS82" s="962">
        <f t="shared" si="8"/>
        <v>0.56164383561643838</v>
      </c>
      <c r="AT82" s="959">
        <v>14</v>
      </c>
      <c r="AU82" s="964">
        <v>-1.02</v>
      </c>
      <c r="AV82" s="965">
        <v>40</v>
      </c>
      <c r="AW82" s="965">
        <v>43</v>
      </c>
      <c r="AX82" s="965">
        <v>37</v>
      </c>
      <c r="AY82" s="962">
        <f t="shared" si="9"/>
        <v>0.48192771084337349</v>
      </c>
      <c r="AZ82" s="966">
        <v>16.57</v>
      </c>
      <c r="BA82" s="967">
        <v>15</v>
      </c>
      <c r="BB82" s="965">
        <v>-1.3519999999999999</v>
      </c>
      <c r="BC82" s="959">
        <v>15</v>
      </c>
      <c r="BD82" s="968">
        <v>-3.081</v>
      </c>
      <c r="BE82" s="961">
        <v>48.52</v>
      </c>
      <c r="BF82" s="966">
        <v>16.829999999999998</v>
      </c>
      <c r="BG82" s="968">
        <v>1.3420000000000001</v>
      </c>
      <c r="BH82" s="968">
        <v>1.66</v>
      </c>
      <c r="BI82" s="961">
        <v>51.49</v>
      </c>
      <c r="BJ82" s="962">
        <f t="shared" si="10"/>
        <v>0.12280701754385964</v>
      </c>
      <c r="BK82" s="969">
        <f t="shared" si="11"/>
        <v>0.97959183673469385</v>
      </c>
      <c r="BL82" s="967">
        <f t="shared" si="12"/>
        <v>1102.3988542785535</v>
      </c>
      <c r="BM82" s="962">
        <f t="shared" si="13"/>
        <v>0.1023988542785535</v>
      </c>
      <c r="BN82" s="966">
        <f>BU82/(Z82*I82)*60</f>
        <v>3.9776493986172929</v>
      </c>
      <c r="BO82" s="966">
        <f>BV82/(Z82*I82)*60</f>
        <v>0.56823562837389896</v>
      </c>
      <c r="BP82" s="961">
        <f>(BU82+BW82)/(Z82*I82)*60</f>
        <v>32.389430817312238</v>
      </c>
      <c r="BQ82" s="961">
        <f>(BV82+BX82)/(Z82*I82)*60</f>
        <v>27.843545790321052</v>
      </c>
      <c r="BR82" s="961">
        <f>(BU82+BW82+BY82+CB82)/(Z82*I82)*60</f>
        <v>58.528269722511602</v>
      </c>
      <c r="BS82" s="961">
        <f>(BV82+BX82+BZ82+CA82)/(Z82*I82)*60</f>
        <v>48.86826404015531</v>
      </c>
      <c r="BT82" s="961">
        <f t="shared" si="14"/>
        <v>9.6600056823562923</v>
      </c>
      <c r="BU82" s="959">
        <v>7</v>
      </c>
      <c r="BV82" s="959">
        <v>1</v>
      </c>
      <c r="BW82" s="967">
        <v>50</v>
      </c>
      <c r="BX82" s="967">
        <v>48</v>
      </c>
      <c r="BY82" s="967">
        <v>16</v>
      </c>
      <c r="BZ82" s="967">
        <v>20</v>
      </c>
      <c r="CA82" s="967">
        <v>17</v>
      </c>
      <c r="CB82" s="967">
        <v>30</v>
      </c>
      <c r="CC82" s="959">
        <v>48</v>
      </c>
      <c r="CD82" s="959">
        <v>35</v>
      </c>
      <c r="CE82" s="962">
        <f t="shared" si="15"/>
        <v>0.57831325301204817</v>
      </c>
      <c r="CF82" s="964">
        <v>4.1500000000000004</v>
      </c>
      <c r="CG82" s="970">
        <f t="shared" si="16"/>
        <v>3.3495536275617717</v>
      </c>
      <c r="CH82" s="966">
        <f>CO82/(AB82*I82)*60</f>
        <v>3.1316450802242417</v>
      </c>
      <c r="CI82" s="966">
        <f>CP82/(AB82*I82)*60</f>
        <v>2.0877633868161607</v>
      </c>
      <c r="CJ82" s="966">
        <f>(CO82+CQ82)/(AB82*I82)*60</f>
        <v>33.172240479412331</v>
      </c>
      <c r="CK82" s="966">
        <f>(CP82+CR82)/(AB82*I82)*60</f>
        <v>30.156582254011216</v>
      </c>
      <c r="CL82" s="966">
        <f>(CO82+CQ82+CS82+CV82)/(AB82*I82)*60</f>
        <v>62.400927894838595</v>
      </c>
      <c r="CM82" s="966">
        <f>(CP82+CR82+CT82+CU82)/(AB82*I82)*60</f>
        <v>55.55770346027451</v>
      </c>
      <c r="CN82" s="961">
        <f t="shared" si="17"/>
        <v>2.816781247792207</v>
      </c>
      <c r="CO82" s="967">
        <v>27</v>
      </c>
      <c r="CP82" s="967">
        <v>18</v>
      </c>
      <c r="CQ82" s="967">
        <v>259</v>
      </c>
      <c r="CR82" s="967">
        <v>242</v>
      </c>
      <c r="CS82" s="967">
        <v>100</v>
      </c>
      <c r="CT82" s="967">
        <v>89</v>
      </c>
      <c r="CU82" s="967">
        <v>130</v>
      </c>
      <c r="CV82" s="967">
        <v>152</v>
      </c>
      <c r="CW82" s="959">
        <v>2</v>
      </c>
      <c r="CX82" s="959">
        <v>0</v>
      </c>
      <c r="CY82" s="967">
        <f t="shared" si="18"/>
        <v>-2</v>
      </c>
      <c r="CZ82" s="966">
        <f>CW82/(X82*I82)*60</f>
        <v>1.1549566891241578</v>
      </c>
      <c r="DA82" s="966">
        <f>CX82/(X82*I82)*60</f>
        <v>0</v>
      </c>
      <c r="DB82" s="966">
        <f>CY82/(X82*I82)*60</f>
        <v>-1.1549566891241578</v>
      </c>
      <c r="DC82" s="9">
        <v>5</v>
      </c>
      <c r="DD82" s="9">
        <v>3</v>
      </c>
      <c r="DE82" s="971">
        <v>3.93</v>
      </c>
      <c r="DF82" s="971">
        <v>3.79</v>
      </c>
      <c r="DG82" s="971">
        <v>3.98</v>
      </c>
      <c r="DH82" s="971">
        <v>3.87</v>
      </c>
      <c r="DI82" s="9">
        <v>0</v>
      </c>
      <c r="DJ82" s="9">
        <v>1</v>
      </c>
      <c r="DK82" s="962">
        <f t="shared" si="19"/>
        <v>0</v>
      </c>
      <c r="DL82" s="967">
        <v>1</v>
      </c>
      <c r="DM82" s="967">
        <v>0</v>
      </c>
      <c r="DN82" s="9">
        <v>0</v>
      </c>
      <c r="DO82" s="9">
        <v>0</v>
      </c>
      <c r="DP82" s="9">
        <v>0</v>
      </c>
      <c r="DQ82" s="9">
        <v>0</v>
      </c>
      <c r="DR82" s="9">
        <v>0</v>
      </c>
      <c r="DS82" s="9">
        <v>0</v>
      </c>
      <c r="DT82" s="959"/>
      <c r="DU82" s="967"/>
      <c r="DV82" s="959"/>
      <c r="DW82" s="959"/>
      <c r="DX82" s="959"/>
      <c r="DY82" s="959"/>
      <c r="DZ82" s="959"/>
      <c r="EA82" s="9"/>
    </row>
    <row r="83" spans="1:131" ht="26.25" x14ac:dyDescent="0.25">
      <c r="A83" s="9" t="s">
        <v>421</v>
      </c>
      <c r="B83" s="9" t="s">
        <v>327</v>
      </c>
      <c r="C83" s="10" t="s">
        <v>422</v>
      </c>
      <c r="D83" s="959" t="s">
        <v>236</v>
      </c>
      <c r="E83" s="9" t="s">
        <v>132</v>
      </c>
      <c r="F83" s="9">
        <f>3/17</f>
        <v>0.17647058823529413</v>
      </c>
      <c r="G83" s="9" t="s">
        <v>464</v>
      </c>
      <c r="H83" s="9">
        <f>30/60</f>
        <v>0.5</v>
      </c>
      <c r="I83" s="9">
        <v>17</v>
      </c>
      <c r="J83" s="9">
        <v>1</v>
      </c>
      <c r="K83" s="9">
        <v>0</v>
      </c>
      <c r="L83" s="957">
        <f>J83+K83</f>
        <v>1</v>
      </c>
      <c r="M83" s="958">
        <f t="shared" si="0"/>
        <v>0.38257173219986879</v>
      </c>
      <c r="N83" s="959">
        <v>1</v>
      </c>
      <c r="O83" s="959">
        <v>0</v>
      </c>
      <c r="P83" s="959">
        <v>0</v>
      </c>
      <c r="Q83" s="959">
        <v>30</v>
      </c>
      <c r="R83" s="959">
        <v>4</v>
      </c>
      <c r="S83" s="959">
        <v>14</v>
      </c>
      <c r="T83" s="959">
        <v>27</v>
      </c>
      <c r="U83" s="960">
        <f>IF(Q83&gt;0,J83/Q83,0)</f>
        <v>3.3333333333333333E-2</v>
      </c>
      <c r="V83" s="960">
        <f>IF(SUM(Q83:S83)&gt;0,J83/SUM(Q83:S83),0)</f>
        <v>2.0833333333333332E-2</v>
      </c>
      <c r="W83" s="961">
        <v>156.8333333333</v>
      </c>
      <c r="X83" s="961">
        <f>W83/I83</f>
        <v>9.2254901960764712</v>
      </c>
      <c r="Y83" s="961">
        <v>165.72</v>
      </c>
      <c r="Z83" s="961">
        <f>Y83/I83</f>
        <v>9.7482352941176469</v>
      </c>
      <c r="AA83" s="961">
        <v>701.49</v>
      </c>
      <c r="AB83" s="961">
        <f>AA83/I83</f>
        <v>41.264117647058825</v>
      </c>
      <c r="AC83" s="962">
        <f t="shared" si="1"/>
        <v>0.19109558238488947</v>
      </c>
      <c r="AD83" s="963">
        <f t="shared" si="2"/>
        <v>0</v>
      </c>
      <c r="AE83">
        <v>3</v>
      </c>
      <c r="AF83" s="959">
        <v>51</v>
      </c>
      <c r="AG83" s="959">
        <v>16</v>
      </c>
      <c r="AH83" s="959">
        <v>2</v>
      </c>
      <c r="AI83" s="959">
        <v>0</v>
      </c>
      <c r="AJ83" s="960">
        <f>IF(N83&gt;0,J83/BU83,0)</f>
        <v>1</v>
      </c>
      <c r="AK83" s="960">
        <f t="shared" si="3"/>
        <v>0</v>
      </c>
      <c r="AL83" s="960">
        <f t="shared" si="4"/>
        <v>1</v>
      </c>
      <c r="AM83" s="959">
        <v>53</v>
      </c>
      <c r="AN83" s="962">
        <f t="shared" si="5"/>
        <v>0.38129496402877699</v>
      </c>
      <c r="AO83" s="959">
        <v>35</v>
      </c>
      <c r="AP83" s="962">
        <f t="shared" si="6"/>
        <v>0.25179856115107913</v>
      </c>
      <c r="AQ83" s="959">
        <v>51</v>
      </c>
      <c r="AR83" s="962">
        <f t="shared" si="7"/>
        <v>0.36690647482014388</v>
      </c>
      <c r="AS83" s="962">
        <f t="shared" si="8"/>
        <v>0.60227272727272729</v>
      </c>
      <c r="AT83" s="959">
        <v>10</v>
      </c>
      <c r="AU83" s="964">
        <v>12.87</v>
      </c>
      <c r="AV83" s="965">
        <v>50</v>
      </c>
      <c r="AW83" s="965">
        <v>51</v>
      </c>
      <c r="AX83" s="965">
        <v>44</v>
      </c>
      <c r="AY83" s="962">
        <f t="shared" si="9"/>
        <v>0.49504950495049505</v>
      </c>
      <c r="AZ83" s="966">
        <v>16.98</v>
      </c>
      <c r="BA83" s="967">
        <v>12</v>
      </c>
      <c r="BB83" s="965">
        <v>-4.7E-2</v>
      </c>
      <c r="BC83" s="959">
        <v>12</v>
      </c>
      <c r="BD83" s="968">
        <v>0.113</v>
      </c>
      <c r="BE83" s="961">
        <v>50.22</v>
      </c>
      <c r="BF83" s="966">
        <v>16.95</v>
      </c>
      <c r="BG83" s="968">
        <v>-0.14699999999999999</v>
      </c>
      <c r="BH83" s="968">
        <v>-4.2359999999999998</v>
      </c>
      <c r="BI83" s="961">
        <v>47.47</v>
      </c>
      <c r="BJ83" s="962">
        <f t="shared" si="10"/>
        <v>1.4285714285714285E-2</v>
      </c>
      <c r="BK83" s="969">
        <f t="shared" si="11"/>
        <v>0.93902439024390238</v>
      </c>
      <c r="BL83" s="967">
        <f t="shared" si="12"/>
        <v>953.31010452961675</v>
      </c>
      <c r="BM83" s="962">
        <f t="shared" si="13"/>
        <v>-4.6689895470383332E-2</v>
      </c>
      <c r="BN83" s="966">
        <f>BU83/(Z83*I83)*60</f>
        <v>0.3620564808110065</v>
      </c>
      <c r="BO83" s="966">
        <f>BV83/(Z83*I83)*60</f>
        <v>1.8102824040550327</v>
      </c>
      <c r="BP83" s="961">
        <f>(BU83+BW83)/(Z83*I83)*60</f>
        <v>25.343953656770456</v>
      </c>
      <c r="BQ83" s="961">
        <f>(BV83+BX83)/(Z83*I83)*60</f>
        <v>29.688631426502536</v>
      </c>
      <c r="BR83" s="961">
        <f>(BU83+BW83+BY83+CB83)/(Z83*I83)*60</f>
        <v>47.067342505430851</v>
      </c>
      <c r="BS83" s="961">
        <f>(BV83+BX83+BZ83+CA83)/(Z83*I83)*60</f>
        <v>51.412020275162931</v>
      </c>
      <c r="BT83" s="961">
        <f t="shared" si="14"/>
        <v>-4.3446777697320798</v>
      </c>
      <c r="BU83" s="959">
        <v>1</v>
      </c>
      <c r="BV83" s="959">
        <v>5</v>
      </c>
      <c r="BW83" s="967">
        <v>69</v>
      </c>
      <c r="BX83" s="967">
        <v>77</v>
      </c>
      <c r="BY83" s="967">
        <v>30</v>
      </c>
      <c r="BZ83" s="967">
        <v>28</v>
      </c>
      <c r="CA83" s="967">
        <v>32</v>
      </c>
      <c r="CB83" s="967">
        <v>30</v>
      </c>
      <c r="CC83" s="959">
        <v>59</v>
      </c>
      <c r="CD83" s="959">
        <v>70</v>
      </c>
      <c r="CE83" s="962">
        <f t="shared" si="15"/>
        <v>0.4573643410852713</v>
      </c>
      <c r="CF83" s="964">
        <v>-1.78</v>
      </c>
      <c r="CG83" s="970">
        <f t="shared" si="16"/>
        <v>-2.5402232242775344</v>
      </c>
      <c r="CH83" s="966">
        <f>CO83/(AB83*I83)*60</f>
        <v>2.0527733823718086</v>
      </c>
      <c r="CI83" s="966">
        <f>CP83/(AB83*I83)*60</f>
        <v>3.1646922978232048</v>
      </c>
      <c r="CJ83" s="966">
        <f>(CO83+CQ83)/(AB83*I83)*60</f>
        <v>27.712440662019418</v>
      </c>
      <c r="CK83" s="966">
        <f>(CP83+CR83)/(AB83*I83)*60</f>
        <v>29.16648847453278</v>
      </c>
      <c r="CL83" s="966">
        <f>(CO83+CQ83+CS83+CV83)/(AB83*I83)*60</f>
        <v>50.720608989436769</v>
      </c>
      <c r="CM83" s="966">
        <f>(CP83+CR83+CT83+CU83)/(AB83*I83)*60</f>
        <v>57.306590257879655</v>
      </c>
      <c r="CN83" s="961">
        <f t="shared" si="17"/>
        <v>2.2413034987108063</v>
      </c>
      <c r="CO83" s="967">
        <v>24</v>
      </c>
      <c r="CP83" s="967">
        <v>37</v>
      </c>
      <c r="CQ83" s="967">
        <v>300</v>
      </c>
      <c r="CR83" s="967">
        <v>304</v>
      </c>
      <c r="CS83" s="967">
        <v>117</v>
      </c>
      <c r="CT83" s="967">
        <v>157</v>
      </c>
      <c r="CU83" s="967">
        <v>172</v>
      </c>
      <c r="CV83" s="967">
        <v>152</v>
      </c>
      <c r="CW83" s="959">
        <v>0</v>
      </c>
      <c r="CX83" s="959">
        <v>2</v>
      </c>
      <c r="CY83" s="967">
        <f t="shared" si="18"/>
        <v>2</v>
      </c>
      <c r="CZ83" s="966">
        <f>CW83/(X83*I83)*60</f>
        <v>0</v>
      </c>
      <c r="DA83" s="966">
        <f>CX83/(X83*I83)*60</f>
        <v>0.76514346439973757</v>
      </c>
      <c r="DB83" s="966">
        <f>CY83/(X83*I83)*60</f>
        <v>0.76514346439973757</v>
      </c>
      <c r="DC83" s="9">
        <v>5</v>
      </c>
      <c r="DD83" s="9">
        <v>7</v>
      </c>
      <c r="DE83" s="971">
        <v>5.0999999999999996</v>
      </c>
      <c r="DF83" s="971">
        <v>7.57</v>
      </c>
      <c r="DG83" s="971">
        <v>5.33</v>
      </c>
      <c r="DH83" s="971">
        <v>6.3</v>
      </c>
      <c r="DI83" s="9">
        <v>0</v>
      </c>
      <c r="DJ83" s="9">
        <v>0</v>
      </c>
      <c r="DK83" s="962" t="str">
        <f t="shared" si="19"/>
        <v xml:space="preserve"> </v>
      </c>
      <c r="DL83" s="967"/>
      <c r="DM83" s="967"/>
      <c r="DN83" s="959"/>
      <c r="DO83" s="959"/>
      <c r="DP83" s="959"/>
      <c r="DQ83" s="959"/>
      <c r="DR83" s="959"/>
      <c r="DS83" s="959"/>
      <c r="DT83" s="959"/>
      <c r="DU83" s="967"/>
      <c r="DV83" s="959"/>
      <c r="DW83" s="959"/>
      <c r="DX83" s="959"/>
      <c r="DY83" s="959"/>
      <c r="DZ83" s="959"/>
      <c r="EA83" s="9"/>
    </row>
    <row r="84" spans="1:131" ht="26.25" x14ac:dyDescent="0.25">
      <c r="A84" s="9" t="s">
        <v>423</v>
      </c>
      <c r="B84" s="9" t="s">
        <v>322</v>
      </c>
      <c r="C84" s="10" t="s">
        <v>424</v>
      </c>
      <c r="D84" s="959" t="s">
        <v>159</v>
      </c>
      <c r="E84" s="9" t="s">
        <v>160</v>
      </c>
      <c r="F84" s="9">
        <f>3/22</f>
        <v>0.13636363636363635</v>
      </c>
      <c r="G84" s="9" t="s">
        <v>456</v>
      </c>
      <c r="H84" s="9">
        <f>10/37</f>
        <v>0.27027027027027029</v>
      </c>
      <c r="I84" s="9">
        <v>22</v>
      </c>
      <c r="J84" s="9">
        <v>0</v>
      </c>
      <c r="K84" s="9">
        <v>3</v>
      </c>
      <c r="L84" s="957">
        <f>J84+K84</f>
        <v>3</v>
      </c>
      <c r="M84" s="958">
        <f t="shared" si="0"/>
        <v>0.54589567327138555</v>
      </c>
      <c r="N84" s="959">
        <v>0</v>
      </c>
      <c r="O84" s="959">
        <v>1</v>
      </c>
      <c r="P84" s="959">
        <v>2</v>
      </c>
      <c r="Q84" s="959">
        <v>13</v>
      </c>
      <c r="R84" s="959">
        <v>6</v>
      </c>
      <c r="S84" s="959">
        <v>17</v>
      </c>
      <c r="T84" s="959">
        <v>15</v>
      </c>
      <c r="U84" s="960">
        <f>IF(Q84&gt;0,J84/Q84,0)</f>
        <v>0</v>
      </c>
      <c r="V84" s="960">
        <f>IF(SUM(Q84:S84)&gt;0,J84/SUM(Q84:S84),0)</f>
        <v>0</v>
      </c>
      <c r="W84" s="961">
        <v>329.73333333329998</v>
      </c>
      <c r="X84" s="961">
        <f>W84/I84</f>
        <v>14.987878787877271</v>
      </c>
      <c r="Y84" s="961">
        <v>321.10000000000002</v>
      </c>
      <c r="Z84" s="961">
        <f>Y84/I84</f>
        <v>14.595454545454546</v>
      </c>
      <c r="AA84" s="961">
        <v>728.24</v>
      </c>
      <c r="AB84" s="961">
        <f>AA84/I84</f>
        <v>33.101818181818182</v>
      </c>
      <c r="AC84" s="962">
        <f t="shared" si="1"/>
        <v>0.30600186784073802</v>
      </c>
      <c r="AD84" s="963">
        <f t="shared" si="2"/>
        <v>14.9</v>
      </c>
      <c r="AE84">
        <v>17</v>
      </c>
      <c r="AF84" s="959">
        <v>22</v>
      </c>
      <c r="AG84" s="959">
        <v>41</v>
      </c>
      <c r="AH84" s="959">
        <v>8</v>
      </c>
      <c r="AI84" s="959">
        <v>3</v>
      </c>
      <c r="AJ84" s="960">
        <f>IF(N84&gt;0,J84/BU84,0)</f>
        <v>0</v>
      </c>
      <c r="AK84" s="960">
        <f t="shared" si="3"/>
        <v>0.3</v>
      </c>
      <c r="AL84" s="960">
        <f t="shared" si="4"/>
        <v>0.3</v>
      </c>
      <c r="AM84" s="959">
        <v>107</v>
      </c>
      <c r="AN84" s="962">
        <f t="shared" si="5"/>
        <v>0.36769759450171824</v>
      </c>
      <c r="AO84" s="959">
        <v>76</v>
      </c>
      <c r="AP84" s="962">
        <f t="shared" si="6"/>
        <v>0.2611683848797251</v>
      </c>
      <c r="AQ84" s="959">
        <v>108</v>
      </c>
      <c r="AR84" s="962">
        <f t="shared" si="7"/>
        <v>0.37113402061855671</v>
      </c>
      <c r="AS84" s="962">
        <f t="shared" si="8"/>
        <v>0.58469945355191255</v>
      </c>
      <c r="AT84" s="959">
        <v>8</v>
      </c>
      <c r="AU84" s="964">
        <v>8.58</v>
      </c>
      <c r="AV84" s="965">
        <v>114</v>
      </c>
      <c r="AW84" s="965">
        <v>111</v>
      </c>
      <c r="AX84" s="965">
        <v>94</v>
      </c>
      <c r="AY84" s="962">
        <f t="shared" si="9"/>
        <v>0.50666666666666671</v>
      </c>
      <c r="AZ84" s="966">
        <v>17.079999999999998</v>
      </c>
      <c r="BA84" s="967">
        <v>8</v>
      </c>
      <c r="BB84" s="965">
        <v>0.315</v>
      </c>
      <c r="BC84" s="959">
        <v>6</v>
      </c>
      <c r="BD84" s="968">
        <v>6.4000000000000001E-2</v>
      </c>
      <c r="BE84" s="961">
        <v>49.98</v>
      </c>
      <c r="BF84" s="966">
        <v>16.28</v>
      </c>
      <c r="BG84" s="968">
        <v>-0.217</v>
      </c>
      <c r="BH84" s="968">
        <v>4.766</v>
      </c>
      <c r="BI84" s="961">
        <v>52.22</v>
      </c>
      <c r="BJ84" s="962">
        <f t="shared" si="10"/>
        <v>6.7114093959731544E-2</v>
      </c>
      <c r="BK84" s="969">
        <f t="shared" si="11"/>
        <v>0.91428571428571426</v>
      </c>
      <c r="BL84" s="967">
        <f t="shared" si="12"/>
        <v>981.3998082454458</v>
      </c>
      <c r="BM84" s="962">
        <f t="shared" si="13"/>
        <v>-1.8600191754554199E-2</v>
      </c>
      <c r="BN84" s="966">
        <f>BU84/(Z84*I84)*60</f>
        <v>1.8685767673621925</v>
      </c>
      <c r="BO84" s="966">
        <f>BV84/(Z84*I84)*60</f>
        <v>2.2422921208346311</v>
      </c>
      <c r="BP84" s="961">
        <f>(BU84+BW84)/(Z84*I84)*60</f>
        <v>27.841793833696666</v>
      </c>
      <c r="BQ84" s="961">
        <f>(BV84+BX84)/(Z84*I84)*60</f>
        <v>26.160074743070691</v>
      </c>
      <c r="BR84" s="961">
        <f>(BU84+BW84+BY84+CB84)/(Z84*I84)*60</f>
        <v>60.728744939271252</v>
      </c>
      <c r="BS84" s="961">
        <f>(BV84+BX84+BZ84+CA84)/(Z84*I84)*60</f>
        <v>52.880722516350041</v>
      </c>
      <c r="BT84" s="961">
        <f t="shared" si="14"/>
        <v>7.8480224229212112</v>
      </c>
      <c r="BU84" s="959">
        <v>10</v>
      </c>
      <c r="BV84" s="959">
        <v>12</v>
      </c>
      <c r="BW84" s="967">
        <v>139</v>
      </c>
      <c r="BX84" s="967">
        <v>128</v>
      </c>
      <c r="BY84" s="967">
        <v>80</v>
      </c>
      <c r="BZ84" s="967">
        <v>68</v>
      </c>
      <c r="CA84" s="967">
        <v>75</v>
      </c>
      <c r="CB84" s="967">
        <v>96</v>
      </c>
      <c r="CC84" s="959">
        <v>165</v>
      </c>
      <c r="CD84" s="959">
        <v>134</v>
      </c>
      <c r="CE84" s="962">
        <f t="shared" si="15"/>
        <v>0.55183946488294311</v>
      </c>
      <c r="CF84" s="964">
        <v>-7.0000000000000007E-2</v>
      </c>
      <c r="CG84" s="970">
        <f t="shared" si="16"/>
        <v>1.0232355376753102</v>
      </c>
      <c r="CH84" s="966">
        <f>CO84/(AB84*I84)*60</f>
        <v>3.1308359881357792</v>
      </c>
      <c r="CI84" s="966">
        <f>CP84/(AB84*I84)*60</f>
        <v>2.6364934636932875</v>
      </c>
      <c r="CJ84" s="966">
        <f>(CO84+CQ84)/(AB84*I84)*60</f>
        <v>32.461825771723611</v>
      </c>
      <c r="CK84" s="966">
        <f>(CP84+CR84)/(AB84*I84)*60</f>
        <v>26.85927716137537</v>
      </c>
      <c r="CL84" s="966">
        <f>(CO84+CQ84+CS84+CV84)/(AB84*I84)*60</f>
        <v>67.889706690102159</v>
      </c>
      <c r="CM84" s="966">
        <f>(CP84+CR84+CT84+CU84)/(AB84*I84)*60</f>
        <v>54.78962979237614</v>
      </c>
      <c r="CN84" s="961">
        <f t="shared" si="17"/>
        <v>-5.2520544748048081</v>
      </c>
      <c r="CO84" s="967">
        <v>38</v>
      </c>
      <c r="CP84" s="967">
        <v>32</v>
      </c>
      <c r="CQ84" s="967">
        <v>356</v>
      </c>
      <c r="CR84" s="967">
        <v>294</v>
      </c>
      <c r="CS84" s="967">
        <v>206</v>
      </c>
      <c r="CT84" s="967">
        <v>146</v>
      </c>
      <c r="CU84" s="967">
        <v>193</v>
      </c>
      <c r="CV84" s="967">
        <v>224</v>
      </c>
      <c r="CW84" s="959">
        <v>3</v>
      </c>
      <c r="CX84" s="959">
        <v>1</v>
      </c>
      <c r="CY84" s="967">
        <f t="shared" si="18"/>
        <v>-2</v>
      </c>
      <c r="CZ84" s="966">
        <f>CW84/(X84*I84)*60</f>
        <v>0.54589567327138555</v>
      </c>
      <c r="DA84" s="966">
        <f>CX84/(X84*I84)*60</f>
        <v>0.1819652244237952</v>
      </c>
      <c r="DB84" s="966">
        <f>CY84/(X84*I84)*60</f>
        <v>-0.3639304488475904</v>
      </c>
      <c r="DC84" s="9">
        <v>11</v>
      </c>
      <c r="DD84" s="9">
        <v>11</v>
      </c>
      <c r="DE84" s="971">
        <v>14.33</v>
      </c>
      <c r="DF84" s="971">
        <v>13.96</v>
      </c>
      <c r="DG84" s="971">
        <v>13.65</v>
      </c>
      <c r="DH84" s="971">
        <v>12.07</v>
      </c>
      <c r="DI84" s="959"/>
      <c r="DJ84" s="959"/>
      <c r="DK84" s="962" t="str">
        <f t="shared" si="19"/>
        <v xml:space="preserve"> </v>
      </c>
      <c r="DL84" s="967"/>
      <c r="DM84" s="967"/>
      <c r="DN84" s="959"/>
      <c r="DO84" s="959"/>
      <c r="DP84" s="959"/>
      <c r="DQ84" s="959"/>
      <c r="DR84" s="959"/>
      <c r="DS84" s="959"/>
      <c r="DT84" s="959"/>
      <c r="DU84" s="967"/>
      <c r="DV84" s="959"/>
      <c r="DW84" s="959"/>
      <c r="DX84" s="959"/>
      <c r="DY84" s="959"/>
      <c r="DZ84" s="959"/>
      <c r="EA84" s="9"/>
    </row>
    <row r="85" spans="1:131" ht="39" x14ac:dyDescent="0.25">
      <c r="A85" s="9" t="s">
        <v>425</v>
      </c>
      <c r="B85" s="9" t="s">
        <v>324</v>
      </c>
      <c r="C85" s="10" t="s">
        <v>426</v>
      </c>
      <c r="D85" s="959" t="s">
        <v>359</v>
      </c>
      <c r="E85" s="9" t="s">
        <v>146</v>
      </c>
      <c r="F85" s="9">
        <f>3/38</f>
        <v>7.8947368421052627E-2</v>
      </c>
      <c r="G85" s="9" t="s">
        <v>456</v>
      </c>
      <c r="H85" s="9">
        <f>16/23</f>
        <v>0.69565217391304346</v>
      </c>
      <c r="I85" s="9">
        <v>38</v>
      </c>
      <c r="J85" s="9">
        <v>0</v>
      </c>
      <c r="K85" s="9">
        <v>3</v>
      </c>
      <c r="L85" s="957">
        <f>J85+K85</f>
        <v>3</v>
      </c>
      <c r="M85" s="958">
        <f t="shared" si="0"/>
        <v>0.45815127476353945</v>
      </c>
      <c r="N85" s="959">
        <v>0</v>
      </c>
      <c r="O85" s="959">
        <v>0</v>
      </c>
      <c r="P85" s="959">
        <v>2</v>
      </c>
      <c r="Q85" s="959">
        <v>39</v>
      </c>
      <c r="R85" s="959">
        <v>19</v>
      </c>
      <c r="S85" s="959">
        <v>24</v>
      </c>
      <c r="T85" s="959">
        <v>40</v>
      </c>
      <c r="U85" s="960">
        <f>IF(Q85&gt;0,J85/Q85,0)</f>
        <v>0</v>
      </c>
      <c r="V85" s="960">
        <f>IF(SUM(Q85:S85)&gt;0,J85/SUM(Q85:S85),0)</f>
        <v>0</v>
      </c>
      <c r="W85" s="961">
        <v>392.88333333330002</v>
      </c>
      <c r="X85" s="961">
        <f>W85/I85</f>
        <v>10.339035087718422</v>
      </c>
      <c r="Y85" s="961">
        <v>390.42</v>
      </c>
      <c r="Z85" s="961">
        <f>Y85/I85</f>
        <v>10.274210526315789</v>
      </c>
      <c r="AA85" s="961">
        <v>1485.28</v>
      </c>
      <c r="AB85" s="961">
        <f>AA85/I85</f>
        <v>39.08631578947368</v>
      </c>
      <c r="AC85" s="962">
        <f t="shared" si="1"/>
        <v>0.20814629205096766</v>
      </c>
      <c r="AD85" s="963">
        <f t="shared" si="2"/>
        <v>0</v>
      </c>
      <c r="AE85">
        <v>13</v>
      </c>
      <c r="AF85" s="959">
        <v>73</v>
      </c>
      <c r="AG85" s="959">
        <v>50</v>
      </c>
      <c r="AH85" s="959">
        <v>3</v>
      </c>
      <c r="AI85" s="959">
        <v>9</v>
      </c>
      <c r="AJ85" s="960">
        <f>IF(N85&gt;0,J85/BU85,0)</f>
        <v>0</v>
      </c>
      <c r="AK85" s="960">
        <f t="shared" si="3"/>
        <v>0.5</v>
      </c>
      <c r="AL85" s="960">
        <f t="shared" si="4"/>
        <v>0.5</v>
      </c>
      <c r="AM85" s="959">
        <v>37</v>
      </c>
      <c r="AN85" s="962">
        <f t="shared" si="5"/>
        <v>0.10220994475138122</v>
      </c>
      <c r="AO85" s="959">
        <v>209</v>
      </c>
      <c r="AP85" s="962">
        <f t="shared" si="6"/>
        <v>0.57734806629834257</v>
      </c>
      <c r="AQ85" s="959">
        <v>116</v>
      </c>
      <c r="AR85" s="962">
        <f t="shared" si="7"/>
        <v>0.32044198895027626</v>
      </c>
      <c r="AS85" s="962">
        <f t="shared" si="8"/>
        <v>0.15040650406504066</v>
      </c>
      <c r="AT85" s="959">
        <v>1</v>
      </c>
      <c r="AU85" s="964">
        <v>-49.82</v>
      </c>
      <c r="AV85" s="965">
        <v>103</v>
      </c>
      <c r="AW85" s="965">
        <v>158</v>
      </c>
      <c r="AX85" s="965">
        <v>98</v>
      </c>
      <c r="AY85" s="962">
        <f t="shared" si="9"/>
        <v>0.3946360153256705</v>
      </c>
      <c r="AZ85" s="966">
        <v>17.18</v>
      </c>
      <c r="BA85" s="967">
        <v>9</v>
      </c>
      <c r="BB85" s="965">
        <v>1.2130000000000001</v>
      </c>
      <c r="BC85" s="959">
        <v>3</v>
      </c>
      <c r="BD85" s="968">
        <v>0.76100000000000001</v>
      </c>
      <c r="BE85" s="961">
        <v>50.01</v>
      </c>
      <c r="BF85" s="966">
        <v>17.29</v>
      </c>
      <c r="BG85" s="968">
        <v>-3.0310000000000001</v>
      </c>
      <c r="BH85" s="968">
        <v>6.1</v>
      </c>
      <c r="BI85" s="961">
        <v>51.89</v>
      </c>
      <c r="BJ85" s="962">
        <f t="shared" si="10"/>
        <v>2.1505376344086023E-2</v>
      </c>
      <c r="BK85" s="969">
        <f t="shared" si="11"/>
        <v>0.9382022471910112</v>
      </c>
      <c r="BL85" s="967">
        <f t="shared" si="12"/>
        <v>959.70762353509724</v>
      </c>
      <c r="BM85" s="962">
        <f t="shared" si="13"/>
        <v>-4.0292376464902781E-2</v>
      </c>
      <c r="BN85" s="966">
        <f>BU85/(Z85*I85)*60</f>
        <v>0.61472260642385124</v>
      </c>
      <c r="BO85" s="966">
        <f>BV85/(Z85*I85)*60</f>
        <v>1.6904871676655908</v>
      </c>
      <c r="BP85" s="961">
        <f>(BU85+BW85)/(Z85*I85)*60</f>
        <v>28.58460119870908</v>
      </c>
      <c r="BQ85" s="961">
        <f>(BV85+BX85)/(Z85*I85)*60</f>
        <v>27.35515598586138</v>
      </c>
      <c r="BR85" s="961">
        <f>(BU85+BW85+BY85+CB85)/(Z85*I85)*60</f>
        <v>50.560934378361765</v>
      </c>
      <c r="BS85" s="961">
        <f>(BV85+BX85+BZ85+CA85)/(Z85*I85)*60</f>
        <v>51.636698939603505</v>
      </c>
      <c r="BT85" s="961">
        <f t="shared" si="14"/>
        <v>-1.0757645612417406</v>
      </c>
      <c r="BU85" s="959">
        <v>4</v>
      </c>
      <c r="BV85" s="959">
        <v>11</v>
      </c>
      <c r="BW85" s="967">
        <v>182</v>
      </c>
      <c r="BX85" s="967">
        <v>167</v>
      </c>
      <c r="BY85" s="967">
        <v>62</v>
      </c>
      <c r="BZ85" s="967">
        <v>65</v>
      </c>
      <c r="CA85" s="967">
        <v>93</v>
      </c>
      <c r="CB85" s="967">
        <v>81</v>
      </c>
      <c r="CC85" s="959">
        <v>149</v>
      </c>
      <c r="CD85" s="959">
        <v>158</v>
      </c>
      <c r="CE85" s="962">
        <f t="shared" si="15"/>
        <v>0.48534201954397393</v>
      </c>
      <c r="CF85" s="964">
        <v>-3.23</v>
      </c>
      <c r="CG85" s="970">
        <f t="shared" si="16"/>
        <v>1.8854793411972839</v>
      </c>
      <c r="CH85" s="966">
        <f>CO85/(AB85*I85)*60</f>
        <v>2.8277496498976626</v>
      </c>
      <c r="CI85" s="966">
        <f>CP85/(AB85*I85)*60</f>
        <v>2.2218032963481638</v>
      </c>
      <c r="CJ85" s="966">
        <f>(CO85+CQ85)/(AB85*I85)*60</f>
        <v>33.569427986642253</v>
      </c>
      <c r="CK85" s="966">
        <f>(CP85+CR85)/(AB85*I85)*60</f>
        <v>30.701281913174626</v>
      </c>
      <c r="CL85" s="966">
        <f>(CO85+CQ85+CS85+CV85)/(AB85*I85)*60</f>
        <v>62.776042227728112</v>
      </c>
      <c r="CM85" s="966">
        <f>(CP85+CR85+CT85+CU85)/(AB85*I85)*60</f>
        <v>54.373586125175059</v>
      </c>
      <c r="CN85" s="961">
        <f t="shared" si="17"/>
        <v>-9.4782206637947937</v>
      </c>
      <c r="CO85" s="967">
        <v>70</v>
      </c>
      <c r="CP85" s="967">
        <v>55</v>
      </c>
      <c r="CQ85" s="967">
        <v>761</v>
      </c>
      <c r="CR85" s="967">
        <v>705</v>
      </c>
      <c r="CS85" s="967">
        <v>297</v>
      </c>
      <c r="CT85" s="967">
        <v>254</v>
      </c>
      <c r="CU85" s="967">
        <v>332</v>
      </c>
      <c r="CV85" s="967">
        <v>426</v>
      </c>
      <c r="CW85" s="959">
        <v>1</v>
      </c>
      <c r="CX85" s="959">
        <v>5</v>
      </c>
      <c r="CY85" s="967">
        <f t="shared" si="18"/>
        <v>4</v>
      </c>
      <c r="CZ85" s="966">
        <f>CW85/(X85*I85)*60</f>
        <v>0.15271709158784649</v>
      </c>
      <c r="DA85" s="966">
        <f>CX85/(X85*I85)*60</f>
        <v>0.76358545793923238</v>
      </c>
      <c r="DB85" s="966">
        <f>CY85/(X85*I85)*60</f>
        <v>0.61086836635138597</v>
      </c>
      <c r="DC85" s="9">
        <v>13</v>
      </c>
      <c r="DD85" s="9">
        <v>16</v>
      </c>
      <c r="DE85" s="971">
        <v>13.09</v>
      </c>
      <c r="DF85" s="971">
        <v>11.56</v>
      </c>
      <c r="DG85" s="971">
        <v>15.77</v>
      </c>
      <c r="DH85" s="971">
        <v>15</v>
      </c>
      <c r="DI85" s="9">
        <v>2</v>
      </c>
      <c r="DJ85" s="9">
        <v>3</v>
      </c>
      <c r="DK85" s="962">
        <f t="shared" si="19"/>
        <v>0.4</v>
      </c>
      <c r="DL85" s="967"/>
      <c r="DM85" s="967"/>
      <c r="DN85" s="959"/>
      <c r="DO85" s="959"/>
      <c r="DP85" s="959"/>
      <c r="DQ85" s="959"/>
      <c r="DR85" s="959"/>
      <c r="DS85" s="959"/>
      <c r="DT85" s="9">
        <v>2</v>
      </c>
      <c r="DU85" s="973">
        <v>0</v>
      </c>
      <c r="DV85" s="9">
        <v>0</v>
      </c>
      <c r="DW85" s="9">
        <v>0</v>
      </c>
      <c r="DX85" s="9">
        <v>0</v>
      </c>
      <c r="DY85" s="9">
        <v>0</v>
      </c>
      <c r="DZ85" s="9">
        <v>0</v>
      </c>
      <c r="EA85" s="9">
        <v>0</v>
      </c>
    </row>
    <row r="86" spans="1:131" ht="39" x14ac:dyDescent="0.25">
      <c r="A86" s="9" t="s">
        <v>403</v>
      </c>
      <c r="B86" s="9" t="s">
        <v>315</v>
      </c>
      <c r="C86" s="10" t="s">
        <v>427</v>
      </c>
      <c r="D86" s="959" t="s">
        <v>387</v>
      </c>
      <c r="E86" s="9" t="s">
        <v>160</v>
      </c>
      <c r="F86" s="9">
        <f>3/11</f>
        <v>0.27272727272727271</v>
      </c>
      <c r="G86" s="9" t="s">
        <v>456</v>
      </c>
      <c r="H86" s="9">
        <f>43/60</f>
        <v>0.71666666666666667</v>
      </c>
      <c r="I86" s="9">
        <v>11</v>
      </c>
      <c r="J86" s="9">
        <v>0</v>
      </c>
      <c r="K86" s="9">
        <v>3</v>
      </c>
      <c r="L86" s="957">
        <f>J86+K86</f>
        <v>3</v>
      </c>
      <c r="M86" s="958">
        <f t="shared" si="0"/>
        <v>1.1402027027024619</v>
      </c>
      <c r="N86" s="959">
        <v>0</v>
      </c>
      <c r="O86" s="959">
        <v>2</v>
      </c>
      <c r="P86" s="959">
        <v>1</v>
      </c>
      <c r="Q86" s="959">
        <v>9</v>
      </c>
      <c r="R86" s="959">
        <v>5</v>
      </c>
      <c r="S86" s="959">
        <v>7</v>
      </c>
      <c r="T86" s="959">
        <v>7</v>
      </c>
      <c r="U86" s="960">
        <f>IF(Q86&gt;0,J86/Q86,0)</f>
        <v>0</v>
      </c>
      <c r="V86" s="960">
        <f>IF(SUM(Q86:S86)&gt;0,J86/SUM(Q86:S86),0)</f>
        <v>0</v>
      </c>
      <c r="W86" s="961">
        <v>157.86666666670001</v>
      </c>
      <c r="X86" s="961">
        <f>W86/I86</f>
        <v>14.351515151518184</v>
      </c>
      <c r="Y86" s="961">
        <v>150.78</v>
      </c>
      <c r="Z86" s="961">
        <f>Y86/I86</f>
        <v>13.707272727272727</v>
      </c>
      <c r="AA86" s="961">
        <v>338.52</v>
      </c>
      <c r="AB86" s="961">
        <f>AA86/I86</f>
        <v>30.774545454545454</v>
      </c>
      <c r="AC86" s="962">
        <f t="shared" si="1"/>
        <v>0.30815450643776821</v>
      </c>
      <c r="AD86" s="963">
        <f t="shared" si="2"/>
        <v>27</v>
      </c>
      <c r="AE86">
        <v>9</v>
      </c>
      <c r="AF86" s="959">
        <v>15</v>
      </c>
      <c r="AG86" s="959">
        <v>20</v>
      </c>
      <c r="AH86" s="959">
        <v>5</v>
      </c>
      <c r="AI86" s="959">
        <v>0</v>
      </c>
      <c r="AJ86" s="960">
        <f>IF(N86&gt;0,J86/BU86,0)</f>
        <v>0</v>
      </c>
      <c r="AK86" s="960">
        <f t="shared" si="3"/>
        <v>0.5</v>
      </c>
      <c r="AL86" s="960">
        <f t="shared" si="4"/>
        <v>0.5</v>
      </c>
      <c r="AM86" s="959">
        <v>42</v>
      </c>
      <c r="AN86" s="962">
        <f t="shared" si="5"/>
        <v>0.28965517241379313</v>
      </c>
      <c r="AO86" s="959">
        <v>48</v>
      </c>
      <c r="AP86" s="962">
        <f t="shared" si="6"/>
        <v>0.33103448275862069</v>
      </c>
      <c r="AQ86" s="959">
        <v>55</v>
      </c>
      <c r="AR86" s="962">
        <f t="shared" si="7"/>
        <v>0.37931034482758619</v>
      </c>
      <c r="AS86" s="962">
        <f t="shared" si="8"/>
        <v>0.46666666666666667</v>
      </c>
      <c r="AT86" s="959">
        <v>1</v>
      </c>
      <c r="AU86" s="964">
        <v>-3.11</v>
      </c>
      <c r="AV86" s="965">
        <v>55</v>
      </c>
      <c r="AW86" s="965">
        <v>63</v>
      </c>
      <c r="AX86" s="965">
        <v>52</v>
      </c>
      <c r="AY86" s="962">
        <f t="shared" si="9"/>
        <v>0.46610169491525422</v>
      </c>
      <c r="AZ86" s="966">
        <v>17.03</v>
      </c>
      <c r="BA86" s="967">
        <v>6</v>
      </c>
      <c r="BB86" s="965">
        <v>-0.85899999999999999</v>
      </c>
      <c r="BC86" s="959">
        <v>6</v>
      </c>
      <c r="BD86" s="968">
        <v>2.7530000000000001</v>
      </c>
      <c r="BE86" s="961">
        <v>50.86</v>
      </c>
      <c r="BF86" s="966">
        <v>16</v>
      </c>
      <c r="BG86" s="968">
        <v>1.468</v>
      </c>
      <c r="BH86" s="968">
        <v>-0.45200000000000001</v>
      </c>
      <c r="BI86" s="961">
        <v>49.33</v>
      </c>
      <c r="BJ86" s="962">
        <f t="shared" si="10"/>
        <v>7.407407407407407E-2</v>
      </c>
      <c r="BK86" s="969">
        <f t="shared" si="11"/>
        <v>0.95945945945945943</v>
      </c>
      <c r="BL86" s="967">
        <f t="shared" si="12"/>
        <v>1033.5335335335335</v>
      </c>
      <c r="BM86" s="962">
        <f t="shared" si="13"/>
        <v>3.3533533533533499E-2</v>
      </c>
      <c r="BN86" s="966">
        <f>BU86/(Z86*I86)*60</f>
        <v>2.38758456028651</v>
      </c>
      <c r="BO86" s="966">
        <f>BV86/(Z86*I86)*60</f>
        <v>1.193792280143255</v>
      </c>
      <c r="BP86" s="961">
        <f>(BU86+BW86)/(Z86*I86)*60</f>
        <v>32.232391563867886</v>
      </c>
      <c r="BQ86" s="961">
        <f>(BV86+BX86)/(Z86*I86)*60</f>
        <v>29.446876243533627</v>
      </c>
      <c r="BR86" s="961">
        <f>(BU86+BW86+BY86+CB86)/(Z86*I86)*60</f>
        <v>52.526860326303222</v>
      </c>
      <c r="BS86" s="961">
        <f>(BV86+BX86+BZ86+CA86)/(Z86*I86)*60</f>
        <v>51.730998806207722</v>
      </c>
      <c r="BT86" s="961">
        <f t="shared" si="14"/>
        <v>0.79586152009549949</v>
      </c>
      <c r="BU86" s="959">
        <v>6</v>
      </c>
      <c r="BV86" s="959">
        <v>3</v>
      </c>
      <c r="BW86" s="967">
        <v>75</v>
      </c>
      <c r="BX86" s="967">
        <v>71</v>
      </c>
      <c r="BY86" s="967">
        <v>22</v>
      </c>
      <c r="BZ86" s="967">
        <v>18</v>
      </c>
      <c r="CA86" s="967">
        <v>38</v>
      </c>
      <c r="CB86" s="967">
        <v>29</v>
      </c>
      <c r="CC86" s="959">
        <v>63</v>
      </c>
      <c r="CD86" s="959">
        <v>56</v>
      </c>
      <c r="CE86" s="962">
        <f t="shared" si="15"/>
        <v>0.52941176470588236</v>
      </c>
      <c r="CF86" s="964">
        <v>8.86</v>
      </c>
      <c r="CG86" s="970">
        <f t="shared" si="16"/>
        <v>4.7108615200955004</v>
      </c>
      <c r="CH86" s="966">
        <f>CO86/(AB86*I86)*60</f>
        <v>2.3041474654377883</v>
      </c>
      <c r="CI86" s="966">
        <f>CP86/(AB86*I86)*60</f>
        <v>2.481389578163772</v>
      </c>
      <c r="CJ86" s="966">
        <f>(CO86+CQ86)/(AB86*I86)*60</f>
        <v>26.231832683445589</v>
      </c>
      <c r="CK86" s="966">
        <f>(CP86+CR86)/(AB86*I86)*60</f>
        <v>33.498759305210925</v>
      </c>
      <c r="CL86" s="966">
        <f>(CO86+CQ86+CS86+CV86)/(AB86*I86)*60</f>
        <v>50.691244239631338</v>
      </c>
      <c r="CM86" s="966">
        <f>(CP86+CR86+CT86+CU86)/(AB86*I86)*60</f>
        <v>59.198865650478552</v>
      </c>
      <c r="CN86" s="961">
        <f t="shared" si="17"/>
        <v>9.3034829309427138</v>
      </c>
      <c r="CO86" s="967">
        <v>13</v>
      </c>
      <c r="CP86" s="967">
        <v>14</v>
      </c>
      <c r="CQ86" s="967">
        <v>135</v>
      </c>
      <c r="CR86" s="967">
        <v>175</v>
      </c>
      <c r="CS86" s="967">
        <v>68</v>
      </c>
      <c r="CT86" s="967">
        <v>57</v>
      </c>
      <c r="CU86" s="967">
        <v>88</v>
      </c>
      <c r="CV86" s="967">
        <v>70</v>
      </c>
      <c r="CW86" s="959">
        <v>1</v>
      </c>
      <c r="CX86" s="959">
        <v>0</v>
      </c>
      <c r="CY86" s="967">
        <f t="shared" si="18"/>
        <v>-1</v>
      </c>
      <c r="CZ86" s="966">
        <f>CW86/(X86*I86)*60</f>
        <v>0.38006756756748727</v>
      </c>
      <c r="DA86" s="966">
        <f>CX86/(X86*I86)*60</f>
        <v>0</v>
      </c>
      <c r="DB86" s="966">
        <f>CY86/(X86*I86)*60</f>
        <v>-0.38006756756748727</v>
      </c>
      <c r="DC86" s="9">
        <v>6</v>
      </c>
      <c r="DD86" s="9">
        <v>6</v>
      </c>
      <c r="DE86" s="971">
        <v>4.88</v>
      </c>
      <c r="DF86" s="971">
        <v>5.01</v>
      </c>
      <c r="DG86" s="971">
        <v>5.24</v>
      </c>
      <c r="DH86" s="971">
        <v>5.37</v>
      </c>
      <c r="DI86" s="959"/>
      <c r="DJ86" s="959"/>
      <c r="DK86" s="962" t="str">
        <f t="shared" si="19"/>
        <v xml:space="preserve"> </v>
      </c>
      <c r="DL86" s="967"/>
      <c r="DM86" s="967"/>
      <c r="DN86" s="959"/>
      <c r="DO86" s="959"/>
      <c r="DP86" s="959"/>
      <c r="DQ86" s="959"/>
      <c r="DR86" s="959"/>
      <c r="DS86" s="959"/>
      <c r="DT86" s="959"/>
      <c r="DU86" s="967"/>
      <c r="DV86" s="959"/>
      <c r="DW86" s="959"/>
      <c r="DX86" s="959"/>
      <c r="DY86" s="959"/>
      <c r="DZ86" s="959"/>
      <c r="EA86" s="9"/>
    </row>
    <row r="87" spans="1:131" ht="26.25" x14ac:dyDescent="0.25">
      <c r="A87" s="9" t="s">
        <v>341</v>
      </c>
      <c r="B87" s="9" t="s">
        <v>328</v>
      </c>
      <c r="C87" s="10" t="s">
        <v>428</v>
      </c>
      <c r="D87" s="959" t="s">
        <v>405</v>
      </c>
      <c r="E87" s="9" t="s">
        <v>160</v>
      </c>
      <c r="F87" s="9">
        <f>3/9</f>
        <v>0.33333333333333331</v>
      </c>
      <c r="G87" s="9" t="s">
        <v>456</v>
      </c>
      <c r="H87" s="9">
        <f>25/71</f>
        <v>0.352112676056338</v>
      </c>
      <c r="I87" s="9">
        <v>9</v>
      </c>
      <c r="J87" s="9">
        <v>0</v>
      </c>
      <c r="K87" s="9">
        <v>1</v>
      </c>
      <c r="L87" s="957">
        <f>J87+K87</f>
        <v>1</v>
      </c>
      <c r="M87" s="958">
        <f t="shared" si="0"/>
        <v>0.44820717131462939</v>
      </c>
      <c r="N87" s="959">
        <v>0</v>
      </c>
      <c r="O87" s="959">
        <v>1</v>
      </c>
      <c r="P87" s="959">
        <v>0</v>
      </c>
      <c r="Q87" s="959">
        <v>9</v>
      </c>
      <c r="R87" s="959">
        <v>3</v>
      </c>
      <c r="S87" s="959">
        <v>4</v>
      </c>
      <c r="T87" s="959">
        <v>4</v>
      </c>
      <c r="U87" s="960">
        <f>IF(Q87&gt;0,J87/Q87,0)</f>
        <v>0</v>
      </c>
      <c r="V87" s="960">
        <f>IF(SUM(Q87:S87)&gt;0,J87/SUM(Q87:S87),0)</f>
        <v>0</v>
      </c>
      <c r="W87" s="961">
        <v>133.86666666670001</v>
      </c>
      <c r="X87" s="961">
        <f>W87/I87</f>
        <v>14.874074074077779</v>
      </c>
      <c r="Y87" s="961">
        <v>129.03</v>
      </c>
      <c r="Z87" s="961">
        <f>Y87/I87</f>
        <v>14.336666666666666</v>
      </c>
      <c r="AA87" s="961">
        <v>295.04000000000002</v>
      </c>
      <c r="AB87" s="961">
        <f>AA87/I87</f>
        <v>32.782222222222224</v>
      </c>
      <c r="AC87" s="962">
        <f t="shared" si="1"/>
        <v>0.30426580517367413</v>
      </c>
      <c r="AD87" s="963">
        <f t="shared" si="2"/>
        <v>14.25</v>
      </c>
      <c r="AE87">
        <v>12</v>
      </c>
      <c r="AF87" s="959">
        <v>14</v>
      </c>
      <c r="AG87" s="959">
        <v>25</v>
      </c>
      <c r="AH87" s="959">
        <v>9</v>
      </c>
      <c r="AI87" s="959">
        <v>6</v>
      </c>
      <c r="AJ87" s="960">
        <f>IF(N87&gt;0,J87/BU87,0)</f>
        <v>0</v>
      </c>
      <c r="AK87" s="960">
        <f t="shared" si="3"/>
        <v>0.25</v>
      </c>
      <c r="AL87" s="960">
        <f t="shared" si="4"/>
        <v>0.25</v>
      </c>
      <c r="AM87" s="959">
        <v>29</v>
      </c>
      <c r="AN87" s="962">
        <f t="shared" si="5"/>
        <v>0.20863309352517986</v>
      </c>
      <c r="AO87" s="959">
        <v>59</v>
      </c>
      <c r="AP87" s="962">
        <f t="shared" si="6"/>
        <v>0.42446043165467628</v>
      </c>
      <c r="AQ87" s="959">
        <v>51</v>
      </c>
      <c r="AR87" s="962">
        <f t="shared" si="7"/>
        <v>0.36690647482014388</v>
      </c>
      <c r="AS87" s="962">
        <f t="shared" si="8"/>
        <v>0.32954545454545453</v>
      </c>
      <c r="AT87" s="959">
        <v>1</v>
      </c>
      <c r="AU87" s="964">
        <v>-17.86</v>
      </c>
      <c r="AV87" s="965">
        <v>35</v>
      </c>
      <c r="AW87" s="965">
        <v>61</v>
      </c>
      <c r="AX87" s="965">
        <v>49</v>
      </c>
      <c r="AY87" s="962">
        <f t="shared" si="9"/>
        <v>0.36458333333333331</v>
      </c>
      <c r="AZ87" s="966">
        <v>17.32</v>
      </c>
      <c r="BA87" s="967">
        <v>2</v>
      </c>
      <c r="BB87" s="965">
        <v>-0.16</v>
      </c>
      <c r="BC87" s="959">
        <v>6</v>
      </c>
      <c r="BD87" s="968">
        <v>-2.0950000000000002</v>
      </c>
      <c r="BE87" s="961">
        <v>49.06</v>
      </c>
      <c r="BF87" s="966">
        <v>16.73</v>
      </c>
      <c r="BG87" s="968">
        <v>-2.032</v>
      </c>
      <c r="BH87" s="968">
        <v>-8.3230000000000004</v>
      </c>
      <c r="BI87" s="961">
        <v>45.5</v>
      </c>
      <c r="BJ87" s="962">
        <f t="shared" si="10"/>
        <v>7.0175438596491224E-2</v>
      </c>
      <c r="BK87" s="969">
        <f t="shared" si="11"/>
        <v>0.88059701492537312</v>
      </c>
      <c r="BL87" s="967">
        <f t="shared" si="12"/>
        <v>950.77245352186435</v>
      </c>
      <c r="BM87" s="962">
        <f t="shared" si="13"/>
        <v>-4.9227546478135653E-2</v>
      </c>
      <c r="BN87" s="966">
        <f>BU87/(Z87*I87)*60</f>
        <v>1.8600325505696349</v>
      </c>
      <c r="BO87" s="966">
        <f>BV87/(Z87*I87)*60</f>
        <v>3.7200651011392698</v>
      </c>
      <c r="BP87" s="961">
        <f>(BU87+BW87)/(Z87*I87)*60</f>
        <v>26.505463845617296</v>
      </c>
      <c r="BQ87" s="961">
        <f>(BV87+BX87)/(Z87*I87)*60</f>
        <v>31.155545222041386</v>
      </c>
      <c r="BR87" s="961">
        <f>(BU87+BW87+BY87+CB87)/(Z87*I87)*60</f>
        <v>48.360846314810509</v>
      </c>
      <c r="BS87" s="961">
        <f>(BV87+BX87+BZ87+CA87)/(Z87*I87)*60</f>
        <v>60.916066031155552</v>
      </c>
      <c r="BT87" s="961">
        <f t="shared" si="14"/>
        <v>-12.555219716345043</v>
      </c>
      <c r="BU87" s="959">
        <v>4</v>
      </c>
      <c r="BV87" s="959">
        <v>8</v>
      </c>
      <c r="BW87" s="967">
        <v>53</v>
      </c>
      <c r="BX87" s="967">
        <v>59</v>
      </c>
      <c r="BY87" s="967">
        <v>20</v>
      </c>
      <c r="BZ87" s="967">
        <v>23</v>
      </c>
      <c r="CA87" s="967">
        <v>41</v>
      </c>
      <c r="CB87" s="967">
        <v>27</v>
      </c>
      <c r="CC87" s="959">
        <v>52</v>
      </c>
      <c r="CD87" s="959">
        <v>68</v>
      </c>
      <c r="CE87" s="962">
        <f t="shared" si="15"/>
        <v>0.43333333333333335</v>
      </c>
      <c r="CF87" s="964">
        <v>-6.36</v>
      </c>
      <c r="CG87" s="970">
        <f t="shared" si="16"/>
        <v>-2.3263106254359496</v>
      </c>
      <c r="CH87" s="966">
        <f>CO87/(AB87*I87)*60</f>
        <v>2.8470715835140994</v>
      </c>
      <c r="CI87" s="966">
        <f>CP87/(AB87*I87)*60</f>
        <v>3.253796095444685</v>
      </c>
      <c r="CJ87" s="966">
        <f>(CO87+CQ87)/(AB87*I87)*60</f>
        <v>30.91106290672451</v>
      </c>
      <c r="CK87" s="966">
        <f>(CP87+CR87)/(AB87*I87)*60</f>
        <v>35.995119305856832</v>
      </c>
      <c r="CL87" s="966">
        <f>(CO87+CQ87+CS87+CV87)/(AB87*I87)*60</f>
        <v>59.585140997830798</v>
      </c>
      <c r="CM87" s="966">
        <f>(CP87+CR87+CT87+CU87)/(AB87*I87)*60</f>
        <v>61.82212581344902</v>
      </c>
      <c r="CN87" s="961">
        <f t="shared" si="17"/>
        <v>-10.318234900726821</v>
      </c>
      <c r="CO87" s="967">
        <v>14</v>
      </c>
      <c r="CP87" s="967">
        <v>16</v>
      </c>
      <c r="CQ87" s="967">
        <v>138</v>
      </c>
      <c r="CR87" s="967">
        <v>161</v>
      </c>
      <c r="CS87" s="967">
        <v>62</v>
      </c>
      <c r="CT87" s="967">
        <v>58</v>
      </c>
      <c r="CU87" s="967">
        <v>69</v>
      </c>
      <c r="CV87" s="967">
        <v>79</v>
      </c>
      <c r="CW87" s="959">
        <v>0</v>
      </c>
      <c r="CX87" s="959">
        <v>1</v>
      </c>
      <c r="CY87" s="967">
        <f t="shared" si="18"/>
        <v>1</v>
      </c>
      <c r="CZ87" s="966">
        <f>CW87/(X87*I87)*60</f>
        <v>0</v>
      </c>
      <c r="DA87" s="966">
        <f>CX87/(X87*I87)*60</f>
        <v>0.44820717131462939</v>
      </c>
      <c r="DB87" s="966">
        <f>CY87/(X87*I87)*60</f>
        <v>0.44820717131462939</v>
      </c>
      <c r="DC87" s="9">
        <v>4</v>
      </c>
      <c r="DD87" s="9">
        <v>6</v>
      </c>
      <c r="DE87" s="971">
        <v>4.66</v>
      </c>
      <c r="DF87" s="971">
        <v>5.73</v>
      </c>
      <c r="DG87" s="971">
        <v>4.7300000000000004</v>
      </c>
      <c r="DH87" s="971">
        <v>5.43</v>
      </c>
      <c r="DI87" s="959"/>
      <c r="DJ87" s="959"/>
      <c r="DK87" s="962" t="str">
        <f t="shared" si="19"/>
        <v xml:space="preserve"> </v>
      </c>
      <c r="DL87" s="967"/>
      <c r="DM87" s="967"/>
      <c r="DN87" s="959"/>
      <c r="DO87" s="959"/>
      <c r="DP87" s="959"/>
      <c r="DQ87" s="959"/>
      <c r="DR87" s="959"/>
      <c r="DS87" s="959"/>
      <c r="DT87" s="959"/>
      <c r="DU87" s="967"/>
      <c r="DV87" s="959"/>
      <c r="DW87" s="959"/>
      <c r="DX87" s="959"/>
      <c r="DY87" s="959"/>
      <c r="DZ87" s="959"/>
      <c r="EA87" s="9"/>
    </row>
    <row r="88" spans="1:131" ht="26.25" x14ac:dyDescent="0.25">
      <c r="A88" s="9" t="s">
        <v>429</v>
      </c>
      <c r="B88" s="9" t="s">
        <v>336</v>
      </c>
      <c r="C88" s="10" t="s">
        <v>430</v>
      </c>
      <c r="D88" s="959" t="s">
        <v>221</v>
      </c>
      <c r="E88" s="9" t="s">
        <v>137</v>
      </c>
      <c r="F88" s="9">
        <f>3/5</f>
        <v>0.6</v>
      </c>
      <c r="G88" s="9" t="s">
        <v>459</v>
      </c>
      <c r="H88" s="9">
        <f>90/58</f>
        <v>1.5517241379310345</v>
      </c>
      <c r="I88" s="9">
        <v>5</v>
      </c>
      <c r="J88" s="9">
        <v>0</v>
      </c>
      <c r="K88" s="9">
        <v>3</v>
      </c>
      <c r="L88" s="957">
        <f>J88+K88</f>
        <v>3</v>
      </c>
      <c r="M88" s="958">
        <f t="shared" si="0"/>
        <v>3.3972947467778529</v>
      </c>
      <c r="N88" s="959">
        <v>0</v>
      </c>
      <c r="O88" s="959">
        <v>3</v>
      </c>
      <c r="P88" s="959">
        <v>0</v>
      </c>
      <c r="Q88" s="959">
        <v>4</v>
      </c>
      <c r="R88" s="959">
        <v>3</v>
      </c>
      <c r="S88" s="959">
        <v>3</v>
      </c>
      <c r="T88" s="959">
        <v>4</v>
      </c>
      <c r="U88" s="960">
        <f>IF(Q88&gt;0,J88/Q88,0)</f>
        <v>0</v>
      </c>
      <c r="V88" s="960">
        <f>IF(SUM(Q88:S88)&gt;0,J88/SUM(Q88:S88),0)</f>
        <v>0</v>
      </c>
      <c r="W88" s="961">
        <v>52.983333333300003</v>
      </c>
      <c r="X88" s="961">
        <f>W88/I88</f>
        <v>10.596666666660001</v>
      </c>
      <c r="Y88" s="961">
        <v>51.12</v>
      </c>
      <c r="Z88" s="961">
        <f>Y88/I88</f>
        <v>10.224</v>
      </c>
      <c r="AA88" s="961">
        <v>174.33</v>
      </c>
      <c r="AB88" s="961">
        <f>AA88/I88</f>
        <v>34.866</v>
      </c>
      <c r="AC88" s="962">
        <f t="shared" si="1"/>
        <v>0.22674650698602794</v>
      </c>
      <c r="AD88" s="963">
        <f t="shared" si="2"/>
        <v>22</v>
      </c>
      <c r="AE88">
        <v>3</v>
      </c>
      <c r="AF88" s="959">
        <v>11</v>
      </c>
      <c r="AG88" s="959">
        <v>3</v>
      </c>
      <c r="AH88" s="959">
        <v>1</v>
      </c>
      <c r="AI88" s="959">
        <v>2</v>
      </c>
      <c r="AJ88" s="960">
        <f>IF(N88&gt;0,J88/BU88,0)</f>
        <v>0</v>
      </c>
      <c r="AK88" s="960">
        <f t="shared" si="3"/>
        <v>1</v>
      </c>
      <c r="AL88" s="960">
        <f t="shared" si="4"/>
        <v>1</v>
      </c>
      <c r="AM88" s="959">
        <v>17</v>
      </c>
      <c r="AN88" s="962">
        <f t="shared" si="5"/>
        <v>0.35416666666666669</v>
      </c>
      <c r="AO88" s="959">
        <v>15</v>
      </c>
      <c r="AP88" s="962">
        <f t="shared" si="6"/>
        <v>0.3125</v>
      </c>
      <c r="AQ88" s="959">
        <v>16</v>
      </c>
      <c r="AR88" s="962">
        <f t="shared" si="7"/>
        <v>0.33333333333333331</v>
      </c>
      <c r="AS88" s="962">
        <f t="shared" si="8"/>
        <v>0.53125</v>
      </c>
      <c r="AT88" s="959">
        <v>19</v>
      </c>
      <c r="AU88" s="964">
        <v>21.35</v>
      </c>
      <c r="AV88" s="965">
        <v>13</v>
      </c>
      <c r="AW88" s="965">
        <v>21</v>
      </c>
      <c r="AX88" s="965">
        <v>13</v>
      </c>
      <c r="AY88" s="962">
        <f t="shared" si="9"/>
        <v>0.38235294117647056</v>
      </c>
      <c r="AZ88" s="966">
        <v>17.55</v>
      </c>
      <c r="BA88" s="967">
        <v>6</v>
      </c>
      <c r="BB88" s="965">
        <v>0.77600000000000002</v>
      </c>
      <c r="BC88" s="959">
        <v>1</v>
      </c>
      <c r="BD88" s="968">
        <v>4.9630000000000001</v>
      </c>
      <c r="BE88" s="961">
        <v>51.35</v>
      </c>
      <c r="BF88" s="966">
        <v>18.100000000000001</v>
      </c>
      <c r="BG88" s="968">
        <v>0.84399999999999997</v>
      </c>
      <c r="BH88" s="968">
        <v>-5.2780000000000005</v>
      </c>
      <c r="BI88" s="961">
        <v>48.5</v>
      </c>
      <c r="BJ88" s="962">
        <f t="shared" si="10"/>
        <v>0.13636363636363635</v>
      </c>
      <c r="BK88" s="969">
        <f t="shared" si="11"/>
        <v>1</v>
      </c>
      <c r="BL88" s="967">
        <f t="shared" si="12"/>
        <v>1136.3636363636363</v>
      </c>
      <c r="BM88" s="962">
        <f t="shared" si="13"/>
        <v>0.13636363636363635</v>
      </c>
      <c r="BN88" s="966">
        <f>BU88/(Z88*I88)*60</f>
        <v>3.52112676056338</v>
      </c>
      <c r="BO88" s="966">
        <f>BV88/(Z88*I88)*60</f>
        <v>0</v>
      </c>
      <c r="BP88" s="961">
        <f>(BU88+BW88)/(Z88*I88)*60</f>
        <v>25.821596244131452</v>
      </c>
      <c r="BQ88" s="961">
        <f>(BV88+BX88)/(Z88*I88)*60</f>
        <v>32.863849765258209</v>
      </c>
      <c r="BR88" s="961">
        <f>(BU88+BW88+BY88+CB88)/(Z88*I88)*60</f>
        <v>43.427230046948353</v>
      </c>
      <c r="BS88" s="961">
        <f>(BV88+BX88+BZ88+CA88)/(Z88*I88)*60</f>
        <v>57.511737089201873</v>
      </c>
      <c r="BT88" s="961">
        <f t="shared" si="14"/>
        <v>-14.08450704225352</v>
      </c>
      <c r="BU88" s="959">
        <v>3</v>
      </c>
      <c r="BV88" s="959">
        <v>0</v>
      </c>
      <c r="BW88" s="967">
        <v>19</v>
      </c>
      <c r="BX88" s="967">
        <v>28</v>
      </c>
      <c r="BY88" s="967">
        <v>8</v>
      </c>
      <c r="BZ88" s="967">
        <v>4</v>
      </c>
      <c r="CA88" s="967">
        <v>17</v>
      </c>
      <c r="CB88" s="967">
        <v>7</v>
      </c>
      <c r="CC88" s="959">
        <v>15</v>
      </c>
      <c r="CD88" s="959">
        <v>19</v>
      </c>
      <c r="CE88" s="962">
        <f t="shared" si="15"/>
        <v>0.44117647058823528</v>
      </c>
      <c r="CF88" s="964">
        <v>8.24</v>
      </c>
      <c r="CG88" s="970">
        <f t="shared" si="16"/>
        <v>-4.6835070422535168</v>
      </c>
      <c r="CH88" s="966">
        <f>CO88/(AB88*I88)*60</f>
        <v>1.3766993632765445</v>
      </c>
      <c r="CI88" s="966">
        <f>CP88/(AB88*I88)*60</f>
        <v>2.0650490449148169</v>
      </c>
      <c r="CJ88" s="966">
        <f>(CO88+CQ88)/(AB88*I88)*60</f>
        <v>20.994665289967305</v>
      </c>
      <c r="CK88" s="966">
        <f>(CP88+CR88)/(AB88*I88)*60</f>
        <v>40.956806057477202</v>
      </c>
      <c r="CL88" s="966">
        <f>(CO88+CQ88+CS88+CV88)/(AB88*I88)*60</f>
        <v>40.26845637583893</v>
      </c>
      <c r="CM88" s="966">
        <f>(CP88+CR88+CT88+CU88)/(AB88*I88)*60</f>
        <v>74.341765616933415</v>
      </c>
      <c r="CN88" s="961">
        <f t="shared" si="17"/>
        <v>19.988802198840965</v>
      </c>
      <c r="CO88" s="967">
        <v>4</v>
      </c>
      <c r="CP88" s="967">
        <v>6</v>
      </c>
      <c r="CQ88" s="967">
        <v>57</v>
      </c>
      <c r="CR88" s="967">
        <v>113</v>
      </c>
      <c r="CS88" s="967">
        <v>28</v>
      </c>
      <c r="CT88" s="967">
        <v>34</v>
      </c>
      <c r="CU88" s="967">
        <v>63</v>
      </c>
      <c r="CV88" s="967">
        <v>28</v>
      </c>
      <c r="CW88" s="959">
        <v>1</v>
      </c>
      <c r="CX88" s="959">
        <v>0</v>
      </c>
      <c r="CY88" s="967">
        <f t="shared" si="18"/>
        <v>-1</v>
      </c>
      <c r="CZ88" s="966">
        <f>CW88/(X88*I88)*60</f>
        <v>1.1324315822592841</v>
      </c>
      <c r="DA88" s="966">
        <f>CX88/(X88*I88)*60</f>
        <v>0</v>
      </c>
      <c r="DB88" s="966">
        <f>CY88/(X88*I88)*60</f>
        <v>-1.1324315822592841</v>
      </c>
      <c r="DC88" s="9">
        <v>2</v>
      </c>
      <c r="DD88" s="9">
        <v>1</v>
      </c>
      <c r="DE88" s="971">
        <v>1.73</v>
      </c>
      <c r="DF88" s="971">
        <v>2.27</v>
      </c>
      <c r="DG88" s="971">
        <v>1.87</v>
      </c>
      <c r="DH88" s="971">
        <v>2.09</v>
      </c>
      <c r="DI88" s="9">
        <v>0</v>
      </c>
      <c r="DJ88" s="9">
        <v>0</v>
      </c>
      <c r="DK88" s="962" t="str">
        <f t="shared" si="19"/>
        <v xml:space="preserve"> </v>
      </c>
      <c r="DL88" s="967"/>
      <c r="DM88" s="967"/>
      <c r="DN88" s="959"/>
      <c r="DO88" s="959"/>
      <c r="DP88" s="959"/>
      <c r="DQ88" s="959"/>
      <c r="DR88" s="959"/>
      <c r="DS88" s="959"/>
      <c r="DT88" s="959"/>
      <c r="DU88" s="967"/>
      <c r="DV88" s="959"/>
      <c r="DW88" s="959"/>
      <c r="DX88" s="959"/>
      <c r="DY88" s="959"/>
      <c r="DZ88" s="959"/>
      <c r="EA88" s="9"/>
    </row>
    <row r="89" spans="1:131" ht="26.25" x14ac:dyDescent="0.25">
      <c r="A89" s="9" t="s">
        <v>194</v>
      </c>
      <c r="B89" s="9" t="s">
        <v>316</v>
      </c>
      <c r="C89" s="10" t="s">
        <v>431</v>
      </c>
      <c r="D89" s="959" t="s">
        <v>181</v>
      </c>
      <c r="E89" s="9" t="s">
        <v>160</v>
      </c>
      <c r="F89" s="9">
        <f>3/28</f>
        <v>0.10714285714285714</v>
      </c>
      <c r="G89" s="9" t="s">
        <v>457</v>
      </c>
      <c r="H89" s="9">
        <f>10/33</f>
        <v>0.30303030303030304</v>
      </c>
      <c r="I89" s="9">
        <v>28</v>
      </c>
      <c r="J89" s="9">
        <v>0</v>
      </c>
      <c r="K89" s="9">
        <v>3</v>
      </c>
      <c r="L89" s="957">
        <f>J89+K89</f>
        <v>3</v>
      </c>
      <c r="M89" s="958">
        <f t="shared" si="0"/>
        <v>0.38243626062320241</v>
      </c>
      <c r="N89" s="959">
        <v>0</v>
      </c>
      <c r="O89" s="959">
        <v>1</v>
      </c>
      <c r="P89" s="959">
        <v>2</v>
      </c>
      <c r="Q89" s="959">
        <v>24</v>
      </c>
      <c r="R89" s="959">
        <v>6</v>
      </c>
      <c r="S89" s="959">
        <v>21</v>
      </c>
      <c r="T89" s="959">
        <v>7</v>
      </c>
      <c r="U89" s="960">
        <f>IF(Q89&gt;0,J89/Q89,0)</f>
        <v>0</v>
      </c>
      <c r="V89" s="960">
        <f>IF(SUM(Q89:S89)&gt;0,J89/SUM(Q89:S89),0)</f>
        <v>0</v>
      </c>
      <c r="W89" s="961">
        <v>470.6666666667</v>
      </c>
      <c r="X89" s="961">
        <f>W89/I89</f>
        <v>16.809523809525</v>
      </c>
      <c r="Y89" s="961">
        <v>449.99</v>
      </c>
      <c r="Z89" s="961">
        <f>Y89/I89</f>
        <v>16.071071428571429</v>
      </c>
      <c r="AA89" s="961">
        <v>903.98</v>
      </c>
      <c r="AB89" s="961">
        <f>AA89/I89</f>
        <v>32.285000000000004</v>
      </c>
      <c r="AC89" s="962">
        <f t="shared" si="1"/>
        <v>0.33234857493149772</v>
      </c>
      <c r="AD89" s="963">
        <f t="shared" si="2"/>
        <v>15.600000000000001</v>
      </c>
      <c r="AE89">
        <v>19</v>
      </c>
      <c r="AF89" s="959">
        <v>41</v>
      </c>
      <c r="AG89" s="959">
        <v>48</v>
      </c>
      <c r="AH89" s="959">
        <v>15</v>
      </c>
      <c r="AI89" s="959">
        <v>8</v>
      </c>
      <c r="AJ89" s="960">
        <f>IF(N89&gt;0,J89/BU89,0)</f>
        <v>0</v>
      </c>
      <c r="AK89" s="960">
        <f t="shared" si="3"/>
        <v>0.2</v>
      </c>
      <c r="AL89" s="960">
        <f t="shared" si="4"/>
        <v>0.2</v>
      </c>
      <c r="AM89" s="959">
        <v>140</v>
      </c>
      <c r="AN89" s="962">
        <f t="shared" si="5"/>
        <v>0.30973451327433627</v>
      </c>
      <c r="AO89" s="959">
        <v>131</v>
      </c>
      <c r="AP89" s="962">
        <f t="shared" si="6"/>
        <v>0.28982300884955753</v>
      </c>
      <c r="AQ89" s="959">
        <v>181</v>
      </c>
      <c r="AR89" s="962">
        <f t="shared" si="7"/>
        <v>0.40044247787610621</v>
      </c>
      <c r="AS89" s="962">
        <f t="shared" si="8"/>
        <v>0.51660516605166051</v>
      </c>
      <c r="AT89" s="959">
        <v>7</v>
      </c>
      <c r="AU89" s="964">
        <v>8.2200000000000006</v>
      </c>
      <c r="AV89" s="965">
        <v>169</v>
      </c>
      <c r="AW89" s="965">
        <v>161</v>
      </c>
      <c r="AX89" s="965">
        <v>137</v>
      </c>
      <c r="AY89" s="962">
        <f t="shared" si="9"/>
        <v>0.51212121212121209</v>
      </c>
      <c r="AZ89" s="966">
        <v>17.23</v>
      </c>
      <c r="BA89" s="967">
        <v>7</v>
      </c>
      <c r="BB89" s="965">
        <v>0.33400000000000002</v>
      </c>
      <c r="BC89" s="959">
        <v>5</v>
      </c>
      <c r="BD89" s="968">
        <v>0.53100000000000003</v>
      </c>
      <c r="BE89" s="961">
        <v>50.28</v>
      </c>
      <c r="BF89" s="966">
        <v>16.41</v>
      </c>
      <c r="BG89" s="968">
        <v>-0.33800000000000002</v>
      </c>
      <c r="BH89" s="968">
        <v>1.681</v>
      </c>
      <c r="BI89" s="961">
        <v>49.8</v>
      </c>
      <c r="BJ89" s="962">
        <f t="shared" si="10"/>
        <v>6.4102564102564097E-2</v>
      </c>
      <c r="BK89" s="969">
        <f t="shared" si="11"/>
        <v>0.93596059113300489</v>
      </c>
      <c r="BL89" s="967">
        <f t="shared" si="12"/>
        <v>1000.063155235569</v>
      </c>
      <c r="BM89" s="962">
        <f t="shared" si="13"/>
        <v>6.3155235568990165E-5</v>
      </c>
      <c r="BN89" s="966">
        <f>BU89/(Z89*I89)*60</f>
        <v>2.0000444454321205</v>
      </c>
      <c r="BO89" s="966">
        <f>BV89/(Z89*I89)*60</f>
        <v>1.7333718527078379</v>
      </c>
      <c r="BP89" s="961">
        <f>(BU89+BW89)/(Z89*I89)*60</f>
        <v>31.200693348741083</v>
      </c>
      <c r="BQ89" s="961">
        <f>(BV89+BX89)/(Z89*I89)*60</f>
        <v>27.067268161514701</v>
      </c>
      <c r="BR89" s="961">
        <f>(BU89+BW89+BY89+CB89)/(Z89*I89)*60</f>
        <v>58.667970399342209</v>
      </c>
      <c r="BS89" s="961">
        <f>(BV89+BX89+BZ89+CA89)/(Z89*I89)*60</f>
        <v>49.201093357630171</v>
      </c>
      <c r="BT89" s="961">
        <f t="shared" si="14"/>
        <v>9.4668770417120385</v>
      </c>
      <c r="BU89" s="959">
        <v>15</v>
      </c>
      <c r="BV89" s="959">
        <v>13</v>
      </c>
      <c r="BW89" s="967">
        <v>219</v>
      </c>
      <c r="BX89" s="967">
        <v>190</v>
      </c>
      <c r="BY89" s="967">
        <v>90</v>
      </c>
      <c r="BZ89" s="967">
        <v>79</v>
      </c>
      <c r="CA89" s="967">
        <v>87</v>
      </c>
      <c r="CB89" s="967">
        <v>116</v>
      </c>
      <c r="CC89" s="959">
        <v>203</v>
      </c>
      <c r="CD89" s="959">
        <v>188</v>
      </c>
      <c r="CE89" s="962">
        <f t="shared" si="15"/>
        <v>0.51918158567774941</v>
      </c>
      <c r="CF89" s="964">
        <v>-0.54</v>
      </c>
      <c r="CG89" s="970">
        <f t="shared" si="16"/>
        <v>7.8283530564721868</v>
      </c>
      <c r="CH89" s="966">
        <f>CO89/(AB89*I89)*60</f>
        <v>3.1195380428770543</v>
      </c>
      <c r="CI89" s="966">
        <f>CP89/(AB89*I89)*60</f>
        <v>2.8540454434832627</v>
      </c>
      <c r="CJ89" s="966">
        <f>(CO89+CQ89)/(AB89*I89)*60</f>
        <v>28.208588685590385</v>
      </c>
      <c r="CK89" s="966">
        <f>(CP89+CR89)/(AB89*I89)*60</f>
        <v>29.934290581650032</v>
      </c>
      <c r="CL89" s="966">
        <f>(CO89+CQ89+CS89+CV89)/(AB89*I89)*60</f>
        <v>55.620699572999392</v>
      </c>
      <c r="CM89" s="966">
        <f>(CP89+CR89+CT89+CU89)/(AB89*I89)*60</f>
        <v>59.204849664815583</v>
      </c>
      <c r="CN89" s="961">
        <f t="shared" si="17"/>
        <v>13.05102713352823</v>
      </c>
      <c r="CO89" s="967">
        <v>47</v>
      </c>
      <c r="CP89" s="967">
        <v>43</v>
      </c>
      <c r="CQ89" s="967">
        <v>378</v>
      </c>
      <c r="CR89" s="967">
        <v>408</v>
      </c>
      <c r="CS89" s="967">
        <v>203</v>
      </c>
      <c r="CT89" s="967">
        <v>209</v>
      </c>
      <c r="CU89" s="967">
        <v>232</v>
      </c>
      <c r="CV89" s="967">
        <v>210</v>
      </c>
      <c r="CW89" s="959">
        <v>11</v>
      </c>
      <c r="CX89" s="959">
        <v>0</v>
      </c>
      <c r="CY89" s="967">
        <f t="shared" si="18"/>
        <v>-11</v>
      </c>
      <c r="CZ89" s="966">
        <f>CW89/(X89*I89)*60</f>
        <v>1.4022662889517421</v>
      </c>
      <c r="DA89" s="966">
        <f>CX89/(X89*I89)*60</f>
        <v>0</v>
      </c>
      <c r="DB89" s="966">
        <f>CY89/(X89*I89)*60</f>
        <v>-1.4022662889517421</v>
      </c>
      <c r="DC89" s="9">
        <v>18</v>
      </c>
      <c r="DD89" s="9">
        <v>17</v>
      </c>
      <c r="DE89" s="971">
        <v>17.649999999999999</v>
      </c>
      <c r="DF89" s="971">
        <v>17.940000000000001</v>
      </c>
      <c r="DG89" s="971">
        <v>17.2</v>
      </c>
      <c r="DH89" s="971">
        <v>16.39</v>
      </c>
      <c r="DI89" s="959"/>
      <c r="DJ89" s="959"/>
      <c r="DK89" s="962" t="str">
        <f t="shared" si="19"/>
        <v xml:space="preserve"> </v>
      </c>
      <c r="DL89" s="967"/>
      <c r="DM89" s="967"/>
      <c r="DN89" s="959"/>
      <c r="DO89" s="959"/>
      <c r="DP89" s="959"/>
      <c r="DQ89" s="959"/>
      <c r="DR89" s="959"/>
      <c r="DS89" s="959"/>
      <c r="DT89" s="959"/>
      <c r="DU89" s="967"/>
      <c r="DV89" s="959"/>
      <c r="DW89" s="959"/>
      <c r="DX89" s="959"/>
      <c r="DY89" s="959"/>
      <c r="DZ89" s="959"/>
      <c r="EA89" s="9"/>
    </row>
    <row r="90" spans="1:131" ht="26.25" x14ac:dyDescent="0.25">
      <c r="A90" s="9" t="s">
        <v>432</v>
      </c>
      <c r="B90" s="9" t="s">
        <v>329</v>
      </c>
      <c r="C90" s="10" t="s">
        <v>433</v>
      </c>
      <c r="D90" s="959" t="s">
        <v>236</v>
      </c>
      <c r="E90" s="9" t="s">
        <v>217</v>
      </c>
      <c r="F90" s="9">
        <f>2/17</f>
        <v>0.11764705882352941</v>
      </c>
      <c r="G90" s="9" t="s">
        <v>456</v>
      </c>
      <c r="H90" s="9">
        <f>9/14</f>
        <v>0.6428571428571429</v>
      </c>
      <c r="I90" s="9">
        <v>17</v>
      </c>
      <c r="J90" s="9">
        <v>2</v>
      </c>
      <c r="K90" s="9">
        <v>0</v>
      </c>
      <c r="L90" s="957">
        <f>J90+K90</f>
        <v>2</v>
      </c>
      <c r="M90" s="958">
        <f t="shared" si="0"/>
        <v>0.57882466436199387</v>
      </c>
      <c r="N90" s="959">
        <v>2</v>
      </c>
      <c r="O90" s="959">
        <v>0</v>
      </c>
      <c r="P90" s="959">
        <v>0</v>
      </c>
      <c r="Q90" s="959">
        <v>18</v>
      </c>
      <c r="R90" s="959">
        <v>13</v>
      </c>
      <c r="S90" s="959">
        <v>9</v>
      </c>
      <c r="T90" s="959">
        <v>19</v>
      </c>
      <c r="U90" s="960">
        <f>IF(Q90&gt;0,J90/Q90,0)</f>
        <v>0.1111111111111111</v>
      </c>
      <c r="V90" s="960">
        <f>IF(SUM(Q90:S90)&gt;0,J90/SUM(Q90:S90),0)</f>
        <v>0.05</v>
      </c>
      <c r="W90" s="961">
        <v>207.3166666667</v>
      </c>
      <c r="X90" s="961">
        <f>W90/I90</f>
        <v>12.195098039217648</v>
      </c>
      <c r="Y90" s="961">
        <v>204.82</v>
      </c>
      <c r="Z90" s="961">
        <f>Y90/I90</f>
        <v>12.048235294117646</v>
      </c>
      <c r="AA90" s="961">
        <v>649.15</v>
      </c>
      <c r="AB90" s="961">
        <f>AA90/I90</f>
        <v>38.185294117647061</v>
      </c>
      <c r="AC90" s="962">
        <f t="shared" si="1"/>
        <v>0.23984449102427483</v>
      </c>
      <c r="AD90" s="963">
        <f t="shared" si="2"/>
        <v>0</v>
      </c>
      <c r="AE90">
        <v>17</v>
      </c>
      <c r="AF90" s="959">
        <v>55</v>
      </c>
      <c r="AG90" s="959">
        <v>26</v>
      </c>
      <c r="AH90" s="959">
        <v>5</v>
      </c>
      <c r="AI90" s="959">
        <v>4</v>
      </c>
      <c r="AJ90" s="960">
        <f>IF(N90&gt;0,J90/BU90,0)</f>
        <v>0.33333333333333331</v>
      </c>
      <c r="AK90" s="960">
        <f t="shared" si="3"/>
        <v>0</v>
      </c>
      <c r="AL90" s="960">
        <f t="shared" si="4"/>
        <v>0.33333333333333331</v>
      </c>
      <c r="AM90" s="959">
        <v>41</v>
      </c>
      <c r="AN90" s="962">
        <f t="shared" si="5"/>
        <v>0.24404761904761904</v>
      </c>
      <c r="AO90" s="959">
        <v>61</v>
      </c>
      <c r="AP90" s="962">
        <f t="shared" si="6"/>
        <v>0.36309523809523808</v>
      </c>
      <c r="AQ90" s="959">
        <v>66</v>
      </c>
      <c r="AR90" s="962">
        <f t="shared" si="7"/>
        <v>0.39285714285714285</v>
      </c>
      <c r="AS90" s="962">
        <f t="shared" si="8"/>
        <v>0.40196078431372551</v>
      </c>
      <c r="AT90" s="959">
        <v>4</v>
      </c>
      <c r="AU90" s="964">
        <v>-11.29</v>
      </c>
      <c r="AV90" s="965">
        <v>57</v>
      </c>
      <c r="AW90" s="965">
        <v>74</v>
      </c>
      <c r="AX90" s="965">
        <v>56</v>
      </c>
      <c r="AY90" s="962">
        <f t="shared" si="9"/>
        <v>0.4351145038167939</v>
      </c>
      <c r="AZ90" s="966">
        <v>17.37</v>
      </c>
      <c r="BA90" s="967">
        <v>6</v>
      </c>
      <c r="BB90" s="965">
        <v>-0.13100000000000001</v>
      </c>
      <c r="BC90" s="959">
        <v>13</v>
      </c>
      <c r="BD90" s="968">
        <v>0.96799999999999997</v>
      </c>
      <c r="BE90" s="961">
        <v>50.45</v>
      </c>
      <c r="BF90" s="966">
        <v>18.12</v>
      </c>
      <c r="BG90" s="968">
        <v>0.60599999999999998</v>
      </c>
      <c r="BH90" s="968">
        <v>-3.0049999999999999</v>
      </c>
      <c r="BI90" s="961">
        <v>48.19</v>
      </c>
      <c r="BJ90" s="962">
        <f t="shared" si="10"/>
        <v>6.4516129032258063E-2</v>
      </c>
      <c r="BK90" s="969">
        <f t="shared" si="11"/>
        <v>0.91</v>
      </c>
      <c r="BL90" s="967">
        <f t="shared" si="12"/>
        <v>974.51612903225805</v>
      </c>
      <c r="BM90" s="962">
        <f t="shared" si="13"/>
        <v>-2.5483870967741906E-2</v>
      </c>
      <c r="BN90" s="966">
        <f>BU90/(Z90*I90)*60</f>
        <v>1.7576408553852165</v>
      </c>
      <c r="BO90" s="966">
        <f>BV90/(Z90*I90)*60</f>
        <v>2.6364612830778245</v>
      </c>
      <c r="BP90" s="961">
        <f>(BU90+BW90)/(Z90*I90)*60</f>
        <v>27.243433258470855</v>
      </c>
      <c r="BQ90" s="961">
        <f>(BV90+BX90)/(Z90*I90)*60</f>
        <v>29.294014256420272</v>
      </c>
      <c r="BR90" s="961">
        <f>(BU90+BW90+BY90+CB90)/(Z90*I90)*60</f>
        <v>53.6080460892491</v>
      </c>
      <c r="BS90" s="961">
        <f>(BV90+BX90+BZ90+CA90)/(Z90*I90)*60</f>
        <v>53.900986231813299</v>
      </c>
      <c r="BT90" s="961">
        <f t="shared" si="14"/>
        <v>-0.29294014256419842</v>
      </c>
      <c r="BU90" s="959">
        <v>6</v>
      </c>
      <c r="BV90" s="959">
        <v>9</v>
      </c>
      <c r="BW90" s="967">
        <v>87</v>
      </c>
      <c r="BX90" s="967">
        <v>91</v>
      </c>
      <c r="BY90" s="967">
        <v>45</v>
      </c>
      <c r="BZ90" s="967">
        <v>27</v>
      </c>
      <c r="CA90" s="967">
        <v>57</v>
      </c>
      <c r="CB90" s="967">
        <v>45</v>
      </c>
      <c r="CC90" s="959">
        <v>72</v>
      </c>
      <c r="CD90" s="959">
        <v>77</v>
      </c>
      <c r="CE90" s="962">
        <f t="shared" si="15"/>
        <v>0.48322147651006714</v>
      </c>
      <c r="CF90" s="964">
        <v>3.22</v>
      </c>
      <c r="CG90" s="970">
        <f t="shared" si="16"/>
        <v>5.9430010339063877</v>
      </c>
      <c r="CH90" s="966">
        <f>CO90/(AB90*I90)*60</f>
        <v>2.4031425710544552</v>
      </c>
      <c r="CI90" s="966">
        <f>CP90/(AB90*I90)*60</f>
        <v>3.0501424940306552</v>
      </c>
      <c r="CJ90" s="966">
        <f>(CO90+CQ90)/(AB90*I90)*60</f>
        <v>22.367711622891473</v>
      </c>
      <c r="CK90" s="966">
        <f>(CP90+CR90)/(AB90*I90)*60</f>
        <v>28.930139413078635</v>
      </c>
      <c r="CL90" s="966">
        <f>(CO90+CQ90+CS90+CV90)/(AB90*I90)*60</f>
        <v>49.264422706616337</v>
      </c>
      <c r="CM90" s="966">
        <f>(CP90+CR90+CT90+CU90)/(AB90*I90)*60</f>
        <v>58.4148501887083</v>
      </c>
      <c r="CN90" s="961">
        <f t="shared" si="17"/>
        <v>8.8574873395277649</v>
      </c>
      <c r="CO90" s="967">
        <v>26</v>
      </c>
      <c r="CP90" s="967">
        <v>33</v>
      </c>
      <c r="CQ90" s="967">
        <v>216</v>
      </c>
      <c r="CR90" s="967">
        <v>280</v>
      </c>
      <c r="CS90" s="967">
        <v>115</v>
      </c>
      <c r="CT90" s="967">
        <v>128</v>
      </c>
      <c r="CU90" s="967">
        <v>191</v>
      </c>
      <c r="CV90" s="967">
        <v>176</v>
      </c>
      <c r="CW90" s="959">
        <v>2</v>
      </c>
      <c r="CX90" s="959">
        <v>2</v>
      </c>
      <c r="CY90" s="967">
        <f t="shared" si="18"/>
        <v>0</v>
      </c>
      <c r="CZ90" s="966">
        <f>CW90/(X90*I90)*60</f>
        <v>0.57882466436199387</v>
      </c>
      <c r="DA90" s="966">
        <f>CX90/(X90*I90)*60</f>
        <v>0.57882466436199387</v>
      </c>
      <c r="DB90" s="966">
        <f>CY90/(X90*I90)*60</f>
        <v>0</v>
      </c>
      <c r="DC90" s="9">
        <v>6</v>
      </c>
      <c r="DD90" s="9">
        <v>7</v>
      </c>
      <c r="DE90" s="971">
        <v>6.57</v>
      </c>
      <c r="DF90" s="971">
        <v>9.41</v>
      </c>
      <c r="DG90" s="971">
        <v>7.01</v>
      </c>
      <c r="DH90" s="971">
        <v>8.65</v>
      </c>
      <c r="DI90" s="9">
        <v>3</v>
      </c>
      <c r="DJ90" s="9">
        <v>3</v>
      </c>
      <c r="DK90" s="962">
        <f t="shared" si="19"/>
        <v>0.5</v>
      </c>
      <c r="DL90" s="967">
        <v>1</v>
      </c>
      <c r="DM90" s="967">
        <v>0</v>
      </c>
      <c r="DN90" s="9">
        <v>0</v>
      </c>
      <c r="DO90" s="9">
        <v>0</v>
      </c>
      <c r="DP90" s="9">
        <v>0</v>
      </c>
      <c r="DQ90" s="9">
        <v>0</v>
      </c>
      <c r="DR90" s="9">
        <v>0</v>
      </c>
      <c r="DS90" s="9">
        <v>0</v>
      </c>
      <c r="DT90" s="9">
        <v>1</v>
      </c>
      <c r="DU90" s="973">
        <v>1</v>
      </c>
      <c r="DV90" s="9">
        <v>0</v>
      </c>
      <c r="DW90" s="9">
        <v>0</v>
      </c>
      <c r="DX90" s="9">
        <v>0</v>
      </c>
      <c r="DY90" s="9">
        <v>0</v>
      </c>
      <c r="DZ90" s="9">
        <v>0</v>
      </c>
      <c r="EA90" s="9">
        <v>0</v>
      </c>
    </row>
    <row r="91" spans="1:131" ht="26.25" x14ac:dyDescent="0.25">
      <c r="A91" s="9" t="s">
        <v>434</v>
      </c>
      <c r="B91" s="9" t="s">
        <v>325</v>
      </c>
      <c r="C91" s="10" t="s">
        <v>435</v>
      </c>
      <c r="D91" s="959" t="s">
        <v>169</v>
      </c>
      <c r="E91" s="9" t="s">
        <v>155</v>
      </c>
      <c r="F91" s="9">
        <f>2/13</f>
        <v>0.15384615384615385</v>
      </c>
      <c r="G91" s="9" t="s">
        <v>461</v>
      </c>
      <c r="H91" s="9">
        <f>35/68</f>
        <v>0.51470588235294112</v>
      </c>
      <c r="I91" s="9">
        <v>13</v>
      </c>
      <c r="J91" s="9">
        <v>1</v>
      </c>
      <c r="K91" s="9">
        <v>1</v>
      </c>
      <c r="L91" s="957">
        <f>J91+K91</f>
        <v>2</v>
      </c>
      <c r="M91" s="958">
        <f t="shared" si="0"/>
        <v>1.2238653748087711</v>
      </c>
      <c r="N91" s="959">
        <v>1</v>
      </c>
      <c r="O91" s="959">
        <v>1</v>
      </c>
      <c r="P91" s="959">
        <v>0</v>
      </c>
      <c r="Q91" s="959">
        <v>16</v>
      </c>
      <c r="R91" s="959">
        <v>3</v>
      </c>
      <c r="S91" s="959">
        <v>3</v>
      </c>
      <c r="T91" s="959">
        <v>14</v>
      </c>
      <c r="U91" s="960">
        <f>IF(Q91&gt;0,J91/Q91,0)</f>
        <v>6.25E-2</v>
      </c>
      <c r="V91" s="960">
        <f>IF(SUM(Q91:S91)&gt;0,J91/SUM(Q91:S91),0)</f>
        <v>4.5454545454545456E-2</v>
      </c>
      <c r="W91" s="961">
        <v>98.05</v>
      </c>
      <c r="X91" s="961">
        <f>W91/I91</f>
        <v>7.5423076923076922</v>
      </c>
      <c r="Y91" s="961">
        <v>101.57</v>
      </c>
      <c r="Z91" s="961">
        <f>Y91/I91</f>
        <v>7.8130769230769221</v>
      </c>
      <c r="AA91" s="961">
        <v>518.44000000000005</v>
      </c>
      <c r="AB91" s="961">
        <f>AA91/I91</f>
        <v>39.880000000000003</v>
      </c>
      <c r="AC91" s="962">
        <f t="shared" si="1"/>
        <v>0.1638199383880905</v>
      </c>
      <c r="AD91" s="963">
        <f t="shared" si="2"/>
        <v>13</v>
      </c>
      <c r="AE91">
        <v>0</v>
      </c>
      <c r="AF91" s="959">
        <v>35</v>
      </c>
      <c r="AG91" s="959">
        <v>18</v>
      </c>
      <c r="AH91" s="959">
        <v>1</v>
      </c>
      <c r="AI91" s="959">
        <v>3</v>
      </c>
      <c r="AJ91" s="960">
        <f>IF(N91&gt;0,J91/BU91,0)</f>
        <v>0.25</v>
      </c>
      <c r="AK91" s="960">
        <f t="shared" si="3"/>
        <v>0.25</v>
      </c>
      <c r="AL91" s="960">
        <f t="shared" si="4"/>
        <v>0.5</v>
      </c>
      <c r="AM91" s="959">
        <v>37</v>
      </c>
      <c r="AN91" s="962">
        <f t="shared" si="5"/>
        <v>0.34579439252336447</v>
      </c>
      <c r="AO91" s="959">
        <v>24</v>
      </c>
      <c r="AP91" s="962">
        <f t="shared" si="6"/>
        <v>0.22429906542056074</v>
      </c>
      <c r="AQ91" s="959">
        <v>46</v>
      </c>
      <c r="AR91" s="962">
        <f t="shared" si="7"/>
        <v>0.42990654205607476</v>
      </c>
      <c r="AS91" s="962">
        <f t="shared" si="8"/>
        <v>0.60655737704918034</v>
      </c>
      <c r="AT91" s="959">
        <v>13</v>
      </c>
      <c r="AU91" s="964">
        <v>7.66</v>
      </c>
      <c r="AV91" s="965">
        <v>49</v>
      </c>
      <c r="AW91" s="965">
        <v>36</v>
      </c>
      <c r="AX91" s="965">
        <v>36</v>
      </c>
      <c r="AY91" s="962">
        <f t="shared" si="9"/>
        <v>0.57647058823529407</v>
      </c>
      <c r="AZ91" s="966">
        <v>16.36</v>
      </c>
      <c r="BA91" s="967">
        <v>14</v>
      </c>
      <c r="BB91" s="965">
        <v>-2.8769999999999998</v>
      </c>
      <c r="BC91" s="959">
        <v>14</v>
      </c>
      <c r="BD91" s="968">
        <v>-3.8180000000000001</v>
      </c>
      <c r="BE91" s="961">
        <v>49.17</v>
      </c>
      <c r="BF91" s="966">
        <v>16.02</v>
      </c>
      <c r="BG91" s="968">
        <v>-2.169</v>
      </c>
      <c r="BH91" s="968">
        <v>0.91300000000000003</v>
      </c>
      <c r="BI91" s="961">
        <v>48.86</v>
      </c>
      <c r="BJ91" s="962">
        <f t="shared" si="10"/>
        <v>7.6923076923076927E-2</v>
      </c>
      <c r="BK91" s="969">
        <f t="shared" si="11"/>
        <v>1</v>
      </c>
      <c r="BL91" s="967">
        <f t="shared" si="12"/>
        <v>1076.9230769230769</v>
      </c>
      <c r="BM91" s="962">
        <f t="shared" si="13"/>
        <v>7.6923076923076927E-2</v>
      </c>
      <c r="BN91" s="966">
        <f>BU91/(Z91*I91)*60</f>
        <v>2.3629024318204199</v>
      </c>
      <c r="BO91" s="966">
        <f>BV91/(Z91*I91)*60</f>
        <v>0</v>
      </c>
      <c r="BP91" s="961">
        <f>(BU91+BW91)/(Z91*I91)*60</f>
        <v>30.717731613665457</v>
      </c>
      <c r="BQ91" s="961">
        <f>(BV91+BX91)/(Z91*I91)*60</f>
        <v>25.991926750024618</v>
      </c>
      <c r="BR91" s="961">
        <f>(BU91+BW91+BY91+CB91)/(Z91*I91)*60</f>
        <v>51.393127892094121</v>
      </c>
      <c r="BS91" s="961">
        <f>(BV91+BX91+BZ91+CA91)/(Z91*I91)*60</f>
        <v>43.713694988677766</v>
      </c>
      <c r="BT91" s="961">
        <f t="shared" si="14"/>
        <v>7.6794329034163553</v>
      </c>
      <c r="BU91" s="959">
        <v>4</v>
      </c>
      <c r="BV91" s="959">
        <v>0</v>
      </c>
      <c r="BW91" s="967">
        <v>48</v>
      </c>
      <c r="BX91" s="967">
        <v>44</v>
      </c>
      <c r="BY91" s="967">
        <v>10</v>
      </c>
      <c r="BZ91" s="967">
        <v>10</v>
      </c>
      <c r="CA91" s="967">
        <v>20</v>
      </c>
      <c r="CB91" s="967">
        <v>25</v>
      </c>
      <c r="CC91" s="959">
        <v>33</v>
      </c>
      <c r="CD91" s="959">
        <v>28</v>
      </c>
      <c r="CE91" s="962">
        <f t="shared" si="15"/>
        <v>0.54098360655737709</v>
      </c>
      <c r="CF91" s="964">
        <v>0.73</v>
      </c>
      <c r="CG91" s="970">
        <f t="shared" si="16"/>
        <v>0.30105585423602754</v>
      </c>
      <c r="CH91" s="966">
        <f>CO91/(AB91*I91)*60</f>
        <v>2.5460998379754645</v>
      </c>
      <c r="CI91" s="966">
        <f>CP91/(AB91*I91)*60</f>
        <v>2.4303680271583978</v>
      </c>
      <c r="CJ91" s="966">
        <f>(CO91+CQ91)/(AB91*I91)*60</f>
        <v>27.081243731193581</v>
      </c>
      <c r="CK91" s="966">
        <f>(CP91+CR91)/(AB91*I91)*60</f>
        <v>26.618316487925313</v>
      </c>
      <c r="CL91" s="966">
        <f>(CO91+CQ91+CS91+CV91)/(AB91*I91)*60</f>
        <v>52.773705732582357</v>
      </c>
      <c r="CM91" s="966">
        <f>(CP91+CR91+CT91+CU91)/(AB91*I91)*60</f>
        <v>52.773705732582357</v>
      </c>
      <c r="CN91" s="961">
        <f t="shared" si="17"/>
        <v>7.6794329034163553</v>
      </c>
      <c r="CO91" s="967">
        <v>22</v>
      </c>
      <c r="CP91" s="967">
        <v>21</v>
      </c>
      <c r="CQ91" s="967">
        <v>212</v>
      </c>
      <c r="CR91" s="967">
        <v>209</v>
      </c>
      <c r="CS91" s="967">
        <v>101</v>
      </c>
      <c r="CT91" s="967">
        <v>87</v>
      </c>
      <c r="CU91" s="967">
        <v>139</v>
      </c>
      <c r="CV91" s="967">
        <v>121</v>
      </c>
      <c r="CW91" s="959">
        <v>2</v>
      </c>
      <c r="CX91" s="959">
        <v>2</v>
      </c>
      <c r="CY91" s="967">
        <f t="shared" si="18"/>
        <v>0</v>
      </c>
      <c r="CZ91" s="966">
        <f>CW91/(X91*I91)*60</f>
        <v>1.2238653748087711</v>
      </c>
      <c r="DA91" s="966">
        <f>CX91/(X91*I91)*60</f>
        <v>1.2238653748087711</v>
      </c>
      <c r="DB91" s="966">
        <f>CY91/(X91*I91)*60</f>
        <v>0</v>
      </c>
      <c r="DC91" s="9">
        <v>4</v>
      </c>
      <c r="DD91" s="9">
        <v>2</v>
      </c>
      <c r="DE91" s="971">
        <v>3.24</v>
      </c>
      <c r="DF91" s="971">
        <v>3.08</v>
      </c>
      <c r="DG91" s="971">
        <v>3.39</v>
      </c>
      <c r="DH91" s="971">
        <v>3.45</v>
      </c>
      <c r="DI91" s="9">
        <v>1</v>
      </c>
      <c r="DJ91" s="9">
        <v>1</v>
      </c>
      <c r="DK91" s="962">
        <f t="shared" si="19"/>
        <v>0.5</v>
      </c>
      <c r="DL91" s="967">
        <v>1</v>
      </c>
      <c r="DM91" s="967">
        <v>0</v>
      </c>
      <c r="DN91" s="9">
        <v>0</v>
      </c>
      <c r="DO91" s="9">
        <v>0</v>
      </c>
      <c r="DP91" s="9">
        <v>0</v>
      </c>
      <c r="DQ91" s="9">
        <v>0</v>
      </c>
      <c r="DR91" s="9">
        <v>0</v>
      </c>
      <c r="DS91" s="9">
        <v>0</v>
      </c>
      <c r="DT91" s="959"/>
      <c r="DU91" s="967"/>
      <c r="DV91" s="959"/>
      <c r="DW91" s="959"/>
      <c r="DX91" s="959"/>
      <c r="DY91" s="959"/>
      <c r="DZ91" s="959"/>
      <c r="EA91" s="9"/>
    </row>
    <row r="92" spans="1:131" ht="26.25" x14ac:dyDescent="0.25">
      <c r="A92" s="9" t="s">
        <v>436</v>
      </c>
      <c r="B92" s="9" t="s">
        <v>306</v>
      </c>
      <c r="C92" s="10" t="s">
        <v>437</v>
      </c>
      <c r="D92" s="959" t="s">
        <v>348</v>
      </c>
      <c r="E92" s="9" t="s">
        <v>155</v>
      </c>
      <c r="F92" s="9">
        <f>2/13</f>
        <v>0.15384615384615385</v>
      </c>
      <c r="G92" s="9" t="s">
        <v>456</v>
      </c>
      <c r="H92" s="9">
        <f>36/53</f>
        <v>0.67924528301886788</v>
      </c>
      <c r="I92" s="9">
        <v>13</v>
      </c>
      <c r="J92" s="9">
        <v>1</v>
      </c>
      <c r="K92" s="9">
        <v>1</v>
      </c>
      <c r="L92" s="957">
        <f>J92+K92</f>
        <v>2</v>
      </c>
      <c r="M92" s="958">
        <f t="shared" si="0"/>
        <v>1.0106681639531194</v>
      </c>
      <c r="N92" s="959">
        <v>1</v>
      </c>
      <c r="O92" s="959">
        <v>0</v>
      </c>
      <c r="P92" s="959">
        <v>1</v>
      </c>
      <c r="Q92" s="959">
        <v>18</v>
      </c>
      <c r="R92" s="959">
        <v>4</v>
      </c>
      <c r="S92" s="959">
        <v>4</v>
      </c>
      <c r="T92" s="959">
        <v>18</v>
      </c>
      <c r="U92" s="960">
        <f>IF(Q92&gt;0,J92/Q92,0)</f>
        <v>5.5555555555555552E-2</v>
      </c>
      <c r="V92" s="960">
        <f>IF(SUM(Q92:S92)&gt;0,J92/SUM(Q92:S92),0)</f>
        <v>3.8461538461538464E-2</v>
      </c>
      <c r="W92" s="961">
        <v>118.7333333333</v>
      </c>
      <c r="X92" s="961">
        <f>W92/I92</f>
        <v>9.1333333333307696</v>
      </c>
      <c r="Y92" s="961">
        <v>122.86</v>
      </c>
      <c r="Z92" s="961">
        <f>Y92/I92</f>
        <v>9.4507692307692306</v>
      </c>
      <c r="AA92" s="961">
        <v>535.73</v>
      </c>
      <c r="AB92" s="961">
        <f>AA92/I92</f>
        <v>41.21</v>
      </c>
      <c r="AC92" s="962">
        <f t="shared" si="1"/>
        <v>0.18655005390303525</v>
      </c>
      <c r="AD92" s="963">
        <f t="shared" si="2"/>
        <v>0</v>
      </c>
      <c r="AE92">
        <v>7</v>
      </c>
      <c r="AF92" s="959">
        <v>3</v>
      </c>
      <c r="AG92" s="959">
        <v>12</v>
      </c>
      <c r="AH92" s="959">
        <v>2</v>
      </c>
      <c r="AI92" s="959">
        <v>4</v>
      </c>
      <c r="AJ92" s="960">
        <f>IF(N92&gt;0,J92/BU92,0)</f>
        <v>0.5</v>
      </c>
      <c r="AK92" s="960">
        <f t="shared" si="3"/>
        <v>0.5</v>
      </c>
      <c r="AL92" s="960">
        <f t="shared" si="4"/>
        <v>1</v>
      </c>
      <c r="AM92" s="959">
        <v>25</v>
      </c>
      <c r="AN92" s="962">
        <f t="shared" si="5"/>
        <v>0.24752475247524752</v>
      </c>
      <c r="AO92" s="959">
        <v>31</v>
      </c>
      <c r="AP92" s="962">
        <f t="shared" si="6"/>
        <v>0.30693069306930693</v>
      </c>
      <c r="AQ92" s="959">
        <v>45</v>
      </c>
      <c r="AR92" s="962">
        <f t="shared" si="7"/>
        <v>0.44554455445544555</v>
      </c>
      <c r="AS92" s="962">
        <f t="shared" si="8"/>
        <v>0.44642857142857145</v>
      </c>
      <c r="AT92" s="959">
        <v>5</v>
      </c>
      <c r="AU92" s="964">
        <v>5.43</v>
      </c>
      <c r="AV92" s="965">
        <v>34</v>
      </c>
      <c r="AW92" s="965">
        <v>42</v>
      </c>
      <c r="AX92" s="965">
        <v>28</v>
      </c>
      <c r="AY92" s="962">
        <f t="shared" si="9"/>
        <v>0.44736842105263158</v>
      </c>
      <c r="AZ92" s="966">
        <v>16.510000000000002</v>
      </c>
      <c r="BA92" s="967">
        <v>10</v>
      </c>
      <c r="BB92" s="965">
        <v>-1.9530000000000001</v>
      </c>
      <c r="BC92" s="959">
        <v>12</v>
      </c>
      <c r="BD92" s="968">
        <v>-1.7549999999999999</v>
      </c>
      <c r="BE92" s="961">
        <v>49.36</v>
      </c>
      <c r="BF92" s="966">
        <v>15.99</v>
      </c>
      <c r="BG92" s="968">
        <v>-3.7549999999999999</v>
      </c>
      <c r="BH92" s="968">
        <v>-17.902999999999999</v>
      </c>
      <c r="BI92" s="961">
        <v>42.54</v>
      </c>
      <c r="BJ92" s="962">
        <f t="shared" si="10"/>
        <v>4.0816326530612242E-2</v>
      </c>
      <c r="BK92" s="969">
        <f t="shared" si="11"/>
        <v>0.95833333333333337</v>
      </c>
      <c r="BL92" s="967">
        <f t="shared" si="12"/>
        <v>999.14965986394566</v>
      </c>
      <c r="BM92" s="962">
        <f t="shared" si="13"/>
        <v>-8.5034013605438802E-4</v>
      </c>
      <c r="BN92" s="966">
        <f>BU92/(Z92*I92)*60</f>
        <v>0.97672147159368383</v>
      </c>
      <c r="BO92" s="966">
        <f>BV92/(Z92*I92)*60</f>
        <v>0.97672147159368383</v>
      </c>
      <c r="BP92" s="961">
        <f>(BU92+BW92)/(Z92*I92)*60</f>
        <v>23.929676054045256</v>
      </c>
      <c r="BQ92" s="961">
        <f>(BV92+BX92)/(Z92*I92)*60</f>
        <v>23.44131531824841</v>
      </c>
      <c r="BR92" s="961">
        <f>(BU92+BW92+BY92+CB92)/(Z92*I92)*60</f>
        <v>38.580498127950513</v>
      </c>
      <c r="BS92" s="961">
        <f>(BV92+BX92+BZ92+CA92)/(Z92*I92)*60</f>
        <v>58.603288295621027</v>
      </c>
      <c r="BT92" s="961">
        <f t="shared" si="14"/>
        <v>-20.022790167670514</v>
      </c>
      <c r="BU92" s="959">
        <v>2</v>
      </c>
      <c r="BV92" s="959">
        <v>2</v>
      </c>
      <c r="BW92" s="967">
        <v>47</v>
      </c>
      <c r="BX92" s="967">
        <v>46</v>
      </c>
      <c r="BY92" s="967">
        <v>10</v>
      </c>
      <c r="BZ92" s="967">
        <v>31</v>
      </c>
      <c r="CA92" s="967">
        <v>41</v>
      </c>
      <c r="CB92" s="967">
        <v>20</v>
      </c>
      <c r="CC92" s="959">
        <v>42</v>
      </c>
      <c r="CD92" s="959">
        <v>48</v>
      </c>
      <c r="CE92" s="962">
        <f t="shared" si="15"/>
        <v>0.46666666666666667</v>
      </c>
      <c r="CF92" s="964">
        <v>4.33</v>
      </c>
      <c r="CG92" s="970">
        <f t="shared" si="16"/>
        <v>-2.6790758819562299</v>
      </c>
      <c r="CH92" s="966">
        <f>CO92/(AB92*I92)*60</f>
        <v>2.4639277247867395</v>
      </c>
      <c r="CI92" s="966">
        <f>CP92/(AB92*I92)*60</f>
        <v>2.911914583838874</v>
      </c>
      <c r="CJ92" s="966">
        <f>(CO92+CQ92)/(AB92*I92)*60</f>
        <v>24.191290388815261</v>
      </c>
      <c r="CK92" s="966">
        <f>(CP92+CR92)/(AB92*I92)*60</f>
        <v>35.614955294644687</v>
      </c>
      <c r="CL92" s="966">
        <f>(CO92+CQ92+CS92+CV92)/(AB92*I92)*60</f>
        <v>45.134676049502545</v>
      </c>
      <c r="CM92" s="966">
        <f>(CP92+CR92+CT92+CU92)/(AB92*I92)*60</f>
        <v>67.758012431635336</v>
      </c>
      <c r="CN92" s="961">
        <f t="shared" si="17"/>
        <v>2.6005462144622769</v>
      </c>
      <c r="CO92" s="967">
        <v>22</v>
      </c>
      <c r="CP92" s="967">
        <v>26</v>
      </c>
      <c r="CQ92" s="967">
        <v>194</v>
      </c>
      <c r="CR92" s="967">
        <v>292</v>
      </c>
      <c r="CS92" s="967">
        <v>86</v>
      </c>
      <c r="CT92" s="967">
        <v>123</v>
      </c>
      <c r="CU92" s="967">
        <v>164</v>
      </c>
      <c r="CV92" s="967">
        <v>101</v>
      </c>
      <c r="CW92" s="959">
        <v>0</v>
      </c>
      <c r="CX92" s="959">
        <v>2</v>
      </c>
      <c r="CY92" s="967">
        <f t="shared" si="18"/>
        <v>2</v>
      </c>
      <c r="CZ92" s="966">
        <f>CW92/(X92*I92)*60</f>
        <v>0</v>
      </c>
      <c r="DA92" s="966">
        <f>CX92/(X92*I92)*60</f>
        <v>1.0106681639531192</v>
      </c>
      <c r="DB92" s="966">
        <f>CY92/(X92*I92)*60</f>
        <v>1.0106681639531192</v>
      </c>
      <c r="DC92" s="9">
        <v>3</v>
      </c>
      <c r="DD92" s="9">
        <v>3</v>
      </c>
      <c r="DE92" s="971">
        <v>3.94</v>
      </c>
      <c r="DF92" s="971">
        <v>3.96</v>
      </c>
      <c r="DG92" s="971">
        <v>3.39</v>
      </c>
      <c r="DH92" s="971">
        <v>4.3499999999999996</v>
      </c>
      <c r="DI92" s="9">
        <v>35</v>
      </c>
      <c r="DJ92" s="9">
        <v>42</v>
      </c>
      <c r="DK92" s="962">
        <f t="shared" si="19"/>
        <v>0.45454545454545453</v>
      </c>
      <c r="DL92" s="967">
        <v>14</v>
      </c>
      <c r="DM92" s="967">
        <v>4</v>
      </c>
      <c r="DN92" s="9">
        <v>0</v>
      </c>
      <c r="DO92" s="9">
        <v>0</v>
      </c>
      <c r="DP92" s="9">
        <v>0</v>
      </c>
      <c r="DQ92" s="9">
        <v>0</v>
      </c>
      <c r="DR92" s="9">
        <v>0</v>
      </c>
      <c r="DS92" s="9">
        <v>0</v>
      </c>
      <c r="DT92" s="9">
        <v>23</v>
      </c>
      <c r="DU92" s="973">
        <v>13</v>
      </c>
      <c r="DV92" s="9">
        <v>0</v>
      </c>
      <c r="DW92" s="9">
        <v>4</v>
      </c>
      <c r="DX92" s="9">
        <v>-0.17400000000000002</v>
      </c>
      <c r="DY92" s="9">
        <v>0</v>
      </c>
      <c r="DZ92" s="9">
        <v>0</v>
      </c>
      <c r="EA92" s="9">
        <v>0</v>
      </c>
    </row>
    <row r="93" spans="1:131" ht="26.25" x14ac:dyDescent="0.25">
      <c r="A93" s="9" t="s">
        <v>438</v>
      </c>
      <c r="B93" s="9" t="s">
        <v>289</v>
      </c>
      <c r="C93" s="10" t="s">
        <v>439</v>
      </c>
      <c r="D93" s="959" t="s">
        <v>405</v>
      </c>
      <c r="E93" s="9" t="s">
        <v>155</v>
      </c>
      <c r="F93" s="9">
        <f>2/16</f>
        <v>0.125</v>
      </c>
      <c r="G93" s="9" t="s">
        <v>456</v>
      </c>
      <c r="H93" s="9">
        <f>27/59</f>
        <v>0.4576271186440678</v>
      </c>
      <c r="I93" s="9">
        <v>16</v>
      </c>
      <c r="J93" s="9">
        <v>1</v>
      </c>
      <c r="K93" s="9">
        <v>1</v>
      </c>
      <c r="L93" s="957">
        <f>J93+K93</f>
        <v>2</v>
      </c>
      <c r="M93" s="958">
        <f t="shared" si="0"/>
        <v>1.1871393239904986</v>
      </c>
      <c r="N93" s="959">
        <v>1</v>
      </c>
      <c r="O93" s="959">
        <v>0</v>
      </c>
      <c r="P93" s="959">
        <v>1</v>
      </c>
      <c r="Q93" s="959">
        <v>16</v>
      </c>
      <c r="R93" s="959">
        <v>5</v>
      </c>
      <c r="S93" s="959">
        <v>2</v>
      </c>
      <c r="T93" s="959">
        <v>16</v>
      </c>
      <c r="U93" s="960">
        <f>IF(Q93&gt;0,J93/Q93,0)</f>
        <v>6.25E-2</v>
      </c>
      <c r="V93" s="960">
        <f>IF(SUM(Q93:S93)&gt;0,J93/SUM(Q93:S93),0)</f>
        <v>4.3478260869565216E-2</v>
      </c>
      <c r="W93" s="961">
        <v>101.0833333333</v>
      </c>
      <c r="X93" s="961">
        <f>W93/I93</f>
        <v>6.3177083333312503</v>
      </c>
      <c r="Y93" s="961">
        <v>99.21</v>
      </c>
      <c r="Z93" s="961">
        <f>Y93/I93</f>
        <v>6.2006249999999996</v>
      </c>
      <c r="AA93" s="961">
        <v>681.72</v>
      </c>
      <c r="AB93" s="961">
        <f>AA93/I93</f>
        <v>42.607500000000002</v>
      </c>
      <c r="AC93" s="962">
        <f t="shared" si="1"/>
        <v>0.12704083592639542</v>
      </c>
      <c r="AD93" s="963">
        <f t="shared" si="2"/>
        <v>0</v>
      </c>
      <c r="AE93">
        <v>1</v>
      </c>
      <c r="AF93" s="959">
        <v>29</v>
      </c>
      <c r="AG93" s="959">
        <v>22</v>
      </c>
      <c r="AH93" s="959">
        <v>1</v>
      </c>
      <c r="AI93" s="959">
        <v>7</v>
      </c>
      <c r="AJ93" s="960">
        <f>IF(N93&gt;0,J93/BU93,0)</f>
        <v>0.33333333333333331</v>
      </c>
      <c r="AK93" s="960">
        <f t="shared" si="3"/>
        <v>0.33333333333333331</v>
      </c>
      <c r="AL93" s="960">
        <f t="shared" si="4"/>
        <v>0.66666666666666663</v>
      </c>
      <c r="AM93" s="959">
        <v>28</v>
      </c>
      <c r="AN93" s="962">
        <f t="shared" si="5"/>
        <v>0.2978723404255319</v>
      </c>
      <c r="AO93" s="959">
        <v>31</v>
      </c>
      <c r="AP93" s="962">
        <f t="shared" si="6"/>
        <v>0.32978723404255317</v>
      </c>
      <c r="AQ93" s="959">
        <v>35</v>
      </c>
      <c r="AR93" s="962">
        <f t="shared" si="7"/>
        <v>0.37234042553191488</v>
      </c>
      <c r="AS93" s="962">
        <f t="shared" si="8"/>
        <v>0.47457627118644069</v>
      </c>
      <c r="AT93" s="959">
        <v>7</v>
      </c>
      <c r="AU93" s="964">
        <v>1.34</v>
      </c>
      <c r="AV93" s="965">
        <v>41</v>
      </c>
      <c r="AW93" s="965">
        <v>38</v>
      </c>
      <c r="AX93" s="965">
        <v>22</v>
      </c>
      <c r="AY93" s="962">
        <f t="shared" si="9"/>
        <v>0.51898734177215189</v>
      </c>
      <c r="AZ93" s="966">
        <v>16.57</v>
      </c>
      <c r="BA93" s="967">
        <v>13</v>
      </c>
      <c r="BB93" s="965">
        <v>-0.36299999999999999</v>
      </c>
      <c r="BC93" s="959">
        <v>11</v>
      </c>
      <c r="BD93" s="968">
        <v>0.55500000000000005</v>
      </c>
      <c r="BE93" s="961">
        <v>50.21</v>
      </c>
      <c r="BF93" s="966">
        <v>15.73</v>
      </c>
      <c r="BG93" s="968">
        <v>1.254</v>
      </c>
      <c r="BH93" s="968">
        <v>-5.6660000000000004</v>
      </c>
      <c r="BI93" s="961">
        <v>46.49</v>
      </c>
      <c r="BJ93" s="962">
        <f t="shared" si="10"/>
        <v>6.6666666666666666E-2</v>
      </c>
      <c r="BK93" s="969">
        <f t="shared" si="11"/>
        <v>0.96</v>
      </c>
      <c r="BL93" s="967">
        <f t="shared" si="12"/>
        <v>1026.6666666666667</v>
      </c>
      <c r="BM93" s="962">
        <f t="shared" si="13"/>
        <v>2.666666666666663E-2</v>
      </c>
      <c r="BN93" s="966">
        <f>BU93/(Z93*I93)*60</f>
        <v>1.8143332325370427</v>
      </c>
      <c r="BO93" s="966">
        <f>BV93/(Z93*I93)*60</f>
        <v>1.2095554883580286</v>
      </c>
      <c r="BP93" s="961">
        <f>(BU93+BW93)/(Z93*I93)*60</f>
        <v>27.214998488055642</v>
      </c>
      <c r="BQ93" s="961">
        <f>(BV93+BX93)/(Z93*I93)*60</f>
        <v>30.238887208950715</v>
      </c>
      <c r="BR93" s="961">
        <f>(BU93+BW93+BY93+CB93)/(Z93*I93)*60</f>
        <v>51.406108255216211</v>
      </c>
      <c r="BS93" s="961">
        <f>(BV93+BX93+BZ93+CA93)/(Z93*I93)*60</f>
        <v>54.429996976111283</v>
      </c>
      <c r="BT93" s="961">
        <f t="shared" si="14"/>
        <v>-3.0238887208950729</v>
      </c>
      <c r="BU93" s="959">
        <v>3</v>
      </c>
      <c r="BV93" s="959">
        <v>2</v>
      </c>
      <c r="BW93" s="967">
        <v>42</v>
      </c>
      <c r="BX93" s="967">
        <v>48</v>
      </c>
      <c r="BY93" s="967">
        <v>18</v>
      </c>
      <c r="BZ93" s="967">
        <v>25</v>
      </c>
      <c r="CA93" s="967">
        <v>15</v>
      </c>
      <c r="CB93" s="967">
        <v>22</v>
      </c>
      <c r="CC93" s="959">
        <v>42</v>
      </c>
      <c r="CD93" s="959">
        <v>50</v>
      </c>
      <c r="CE93" s="962">
        <f t="shared" si="15"/>
        <v>0.45652173913043476</v>
      </c>
      <c r="CF93" s="964">
        <v>-2.1</v>
      </c>
      <c r="CG93" s="970">
        <f t="shared" si="16"/>
        <v>3.7172807706303512</v>
      </c>
      <c r="CH93" s="966">
        <f>CO93/(AB93*I93)*60</f>
        <v>1.8482661503256468</v>
      </c>
      <c r="CI93" s="966">
        <f>CP93/(AB93*I93)*60</f>
        <v>3.7845449744763244</v>
      </c>
      <c r="CJ93" s="966">
        <f>(CO93+CQ93)/(AB93*I93)*60</f>
        <v>31.508537229361025</v>
      </c>
      <c r="CK93" s="966">
        <f>(CP93+CR93)/(AB93*I93)*60</f>
        <v>35.11705685618729</v>
      </c>
      <c r="CL93" s="966">
        <f>(CO93+CQ93+CS93+CV93)/(AB93*I93)*60</f>
        <v>57.648301355395176</v>
      </c>
      <c r="CM93" s="966">
        <f>(CP93+CR93+CT93+CU93)/(AB93*I93)*60</f>
        <v>63.545150501672232</v>
      </c>
      <c r="CN93" s="961">
        <f t="shared" si="17"/>
        <v>2.8729604253819829</v>
      </c>
      <c r="CO93" s="967">
        <v>21</v>
      </c>
      <c r="CP93" s="967">
        <v>43</v>
      </c>
      <c r="CQ93" s="967">
        <v>337</v>
      </c>
      <c r="CR93" s="967">
        <v>356</v>
      </c>
      <c r="CS93" s="967">
        <v>139</v>
      </c>
      <c r="CT93" s="967">
        <v>147</v>
      </c>
      <c r="CU93" s="967">
        <v>176</v>
      </c>
      <c r="CV93" s="967">
        <v>158</v>
      </c>
      <c r="CW93" s="959">
        <v>2</v>
      </c>
      <c r="CX93" s="959">
        <v>1</v>
      </c>
      <c r="CY93" s="967">
        <f t="shared" si="18"/>
        <v>-1</v>
      </c>
      <c r="CZ93" s="966">
        <f>CW93/(X93*I93)*60</f>
        <v>1.1871393239904986</v>
      </c>
      <c r="DA93" s="966">
        <f>CX93/(X93*I93)*60</f>
        <v>0.5935696619952493</v>
      </c>
      <c r="DB93" s="966">
        <f>CY93/(X93*I93)*60</f>
        <v>-0.5935696619952493</v>
      </c>
      <c r="DC93" s="9">
        <v>4</v>
      </c>
      <c r="DD93" s="9">
        <v>4</v>
      </c>
      <c r="DE93" s="971">
        <v>2.72</v>
      </c>
      <c r="DF93" s="971">
        <v>4.72</v>
      </c>
      <c r="DG93" s="971">
        <v>3.32</v>
      </c>
      <c r="DH93" s="971">
        <v>3.89</v>
      </c>
      <c r="DI93" s="9">
        <v>37</v>
      </c>
      <c r="DJ93" s="9">
        <v>52</v>
      </c>
      <c r="DK93" s="962">
        <f t="shared" si="19"/>
        <v>0.4157303370786517</v>
      </c>
      <c r="DL93" s="967">
        <v>24</v>
      </c>
      <c r="DM93" s="967">
        <v>8</v>
      </c>
      <c r="DN93" s="9">
        <v>1</v>
      </c>
      <c r="DO93" s="9">
        <v>0</v>
      </c>
      <c r="DP93" s="9">
        <v>4.2000000000000003E-2</v>
      </c>
      <c r="DQ93" s="9">
        <v>0</v>
      </c>
      <c r="DR93" s="9">
        <v>0</v>
      </c>
      <c r="DS93" s="9">
        <v>0</v>
      </c>
      <c r="DT93" s="9">
        <v>30</v>
      </c>
      <c r="DU93" s="973">
        <v>14</v>
      </c>
      <c r="DV93" s="9">
        <v>0</v>
      </c>
      <c r="DW93" s="9">
        <v>5</v>
      </c>
      <c r="DX93" s="9">
        <v>-0.16700000000000001</v>
      </c>
      <c r="DY93" s="9">
        <v>0</v>
      </c>
      <c r="DZ93" s="9">
        <v>0</v>
      </c>
      <c r="EA93" s="9">
        <v>0</v>
      </c>
    </row>
    <row r="94" spans="1:131" ht="39" x14ac:dyDescent="0.25">
      <c r="A94" s="9" t="s">
        <v>440</v>
      </c>
      <c r="B94" s="9" t="s">
        <v>317</v>
      </c>
      <c r="C94" s="10" t="s">
        <v>441</v>
      </c>
      <c r="D94" s="959" t="s">
        <v>367</v>
      </c>
      <c r="E94" s="9" t="s">
        <v>160</v>
      </c>
      <c r="F94" s="9">
        <f>2/13</f>
        <v>0.15384615384615385</v>
      </c>
      <c r="G94" s="9" t="s">
        <v>456</v>
      </c>
      <c r="H94" s="9">
        <f>20/51</f>
        <v>0.39215686274509803</v>
      </c>
      <c r="I94" s="9">
        <v>13</v>
      </c>
      <c r="J94" s="9">
        <v>1</v>
      </c>
      <c r="K94" s="9">
        <v>1</v>
      </c>
      <c r="L94" s="957">
        <f>J94+K94</f>
        <v>2</v>
      </c>
      <c r="M94" s="958">
        <f t="shared" si="0"/>
        <v>0.63280014062236478</v>
      </c>
      <c r="N94" s="959">
        <v>0</v>
      </c>
      <c r="O94" s="959">
        <v>0</v>
      </c>
      <c r="P94" s="959">
        <v>1</v>
      </c>
      <c r="Q94" s="959">
        <v>6</v>
      </c>
      <c r="R94" s="959">
        <v>4</v>
      </c>
      <c r="S94" s="959">
        <v>8</v>
      </c>
      <c r="T94" s="959">
        <v>5</v>
      </c>
      <c r="U94" s="960">
        <f>IF(Q94&gt;0,J94/Q94,0)</f>
        <v>0.16666666666666666</v>
      </c>
      <c r="V94" s="960">
        <f>IF(SUM(Q94:S94)&gt;0,J94/SUM(Q94:S94),0)</f>
        <v>5.5555555555555552E-2</v>
      </c>
      <c r="W94" s="961">
        <v>189.63333333329999</v>
      </c>
      <c r="X94" s="961">
        <f>W94/I94</f>
        <v>14.587179487176922</v>
      </c>
      <c r="Y94" s="961">
        <v>186.56</v>
      </c>
      <c r="Z94" s="961">
        <f>Y94/I94</f>
        <v>14.350769230769231</v>
      </c>
      <c r="AA94" s="961">
        <v>428.29</v>
      </c>
      <c r="AB94" s="961">
        <f>AA94/I94</f>
        <v>32.945384615384619</v>
      </c>
      <c r="AC94" s="962">
        <f t="shared" si="1"/>
        <v>0.30342359925185003</v>
      </c>
      <c r="AD94" s="963">
        <f t="shared" si="2"/>
        <v>0</v>
      </c>
      <c r="AE94">
        <v>8</v>
      </c>
      <c r="AF94" s="959">
        <v>7</v>
      </c>
      <c r="AG94" s="959">
        <v>20</v>
      </c>
      <c r="AH94" s="959">
        <v>4</v>
      </c>
      <c r="AI94" s="959">
        <v>4</v>
      </c>
      <c r="AJ94" s="960">
        <f>IF(N94&gt;0,J94/BU94,0)</f>
        <v>0</v>
      </c>
      <c r="AK94" s="960">
        <f t="shared" si="3"/>
        <v>0.25</v>
      </c>
      <c r="AL94" s="960">
        <f t="shared" si="4"/>
        <v>0.25</v>
      </c>
      <c r="AM94" s="959">
        <v>63</v>
      </c>
      <c r="AN94" s="962">
        <f t="shared" si="5"/>
        <v>0.3888888888888889</v>
      </c>
      <c r="AO94" s="959">
        <v>34</v>
      </c>
      <c r="AP94" s="962">
        <f t="shared" si="6"/>
        <v>0.20987654320987653</v>
      </c>
      <c r="AQ94" s="959">
        <v>65</v>
      </c>
      <c r="AR94" s="962">
        <f t="shared" si="7"/>
        <v>0.40123456790123457</v>
      </c>
      <c r="AS94" s="962">
        <f t="shared" si="8"/>
        <v>0.64948453608247425</v>
      </c>
      <c r="AT94" s="959">
        <v>7</v>
      </c>
      <c r="AU94" s="964">
        <v>14.58</v>
      </c>
      <c r="AV94" s="965">
        <v>72</v>
      </c>
      <c r="AW94" s="965">
        <v>63</v>
      </c>
      <c r="AX94" s="965">
        <v>51</v>
      </c>
      <c r="AY94" s="962">
        <f t="shared" si="9"/>
        <v>0.53333333333333333</v>
      </c>
      <c r="AZ94" s="966">
        <v>16.97</v>
      </c>
      <c r="BA94" s="967">
        <v>6</v>
      </c>
      <c r="BB94" s="965">
        <v>-0.84899999999999998</v>
      </c>
      <c r="BC94" s="959">
        <v>7</v>
      </c>
      <c r="BD94" s="968">
        <v>1.948</v>
      </c>
      <c r="BE94" s="961">
        <v>50.74</v>
      </c>
      <c r="BF94" s="966">
        <v>16.079999999999998</v>
      </c>
      <c r="BG94" s="968">
        <v>-5.5E-2</v>
      </c>
      <c r="BH94" s="968">
        <v>6.4589999999999996</v>
      </c>
      <c r="BI94" s="961">
        <v>53.33</v>
      </c>
      <c r="BJ94" s="962">
        <f t="shared" si="10"/>
        <v>4.49438202247191E-2</v>
      </c>
      <c r="BK94" s="969">
        <f t="shared" si="11"/>
        <v>0.91935483870967738</v>
      </c>
      <c r="BL94" s="967">
        <f t="shared" si="12"/>
        <v>964.29865893439637</v>
      </c>
      <c r="BM94" s="962">
        <f t="shared" si="13"/>
        <v>-3.570134106560352E-2</v>
      </c>
      <c r="BN94" s="966">
        <f>BU94/(Z94*I94)*60</f>
        <v>1.2864493996569468</v>
      </c>
      <c r="BO94" s="966">
        <f>BV94/(Z94*I94)*60</f>
        <v>1.6080617495711835</v>
      </c>
      <c r="BP94" s="961">
        <f>(BU94+BW94)/(Z94*I94)*60</f>
        <v>28.623499142367066</v>
      </c>
      <c r="BQ94" s="961">
        <f>(BV94+BX94)/(Z94*I94)*60</f>
        <v>19.939965694682677</v>
      </c>
      <c r="BR94" s="961">
        <f>(BU94+BW94+BY94+CB94)/(Z94*I94)*60</f>
        <v>55.638936535162948</v>
      </c>
      <c r="BS94" s="961">
        <f>(BV94+BX94+BZ94+CA94)/(Z94*I94)*60</f>
        <v>40.201543739279593</v>
      </c>
      <c r="BT94" s="961">
        <f t="shared" si="14"/>
        <v>15.437392795883355</v>
      </c>
      <c r="BU94" s="959">
        <v>4</v>
      </c>
      <c r="BV94" s="959">
        <v>5</v>
      </c>
      <c r="BW94" s="967">
        <v>85</v>
      </c>
      <c r="BX94" s="967">
        <v>57</v>
      </c>
      <c r="BY94" s="967">
        <v>34</v>
      </c>
      <c r="BZ94" s="967">
        <v>31</v>
      </c>
      <c r="CA94" s="967">
        <v>32</v>
      </c>
      <c r="CB94" s="967">
        <v>50</v>
      </c>
      <c r="CC94" s="959">
        <v>76</v>
      </c>
      <c r="CD94" s="959">
        <v>51</v>
      </c>
      <c r="CE94" s="962">
        <f t="shared" si="15"/>
        <v>0.59842519685039375</v>
      </c>
      <c r="CF94" s="964">
        <v>10.130000000000001</v>
      </c>
      <c r="CG94" s="970">
        <f t="shared" si="16"/>
        <v>7.2487639299039728</v>
      </c>
      <c r="CH94" s="966">
        <f>CO94/(AB94*I94)*60</f>
        <v>2.5216558873660371</v>
      </c>
      <c r="CI94" s="966">
        <f>CP94/(AB94*I94)*60</f>
        <v>2.3815638936234791</v>
      </c>
      <c r="CJ94" s="966">
        <f>(CO94+CQ94)/(AB94*I94)*60</f>
        <v>27.037754792313617</v>
      </c>
      <c r="CK94" s="966">
        <f>(CP94+CR94)/(AB94*I94)*60</f>
        <v>29.559410679679655</v>
      </c>
      <c r="CL94" s="966">
        <f>(CO94+CQ94+CS94+CV94)/(AB94*I94)*60</f>
        <v>53.375049615914449</v>
      </c>
      <c r="CM94" s="966">
        <f>(CP94+CR94+CT94+CU94)/(AB94*I94)*60</f>
        <v>54.916061547082585</v>
      </c>
      <c r="CN94" s="961">
        <f t="shared" si="17"/>
        <v>16.97840472705149</v>
      </c>
      <c r="CO94" s="967">
        <v>18</v>
      </c>
      <c r="CP94" s="967">
        <v>17</v>
      </c>
      <c r="CQ94" s="967">
        <v>175</v>
      </c>
      <c r="CR94" s="967">
        <v>194</v>
      </c>
      <c r="CS94" s="967">
        <v>80</v>
      </c>
      <c r="CT94" s="967">
        <v>89</v>
      </c>
      <c r="CU94" s="967">
        <v>92</v>
      </c>
      <c r="CV94" s="967">
        <v>108</v>
      </c>
      <c r="CW94" s="959">
        <v>1</v>
      </c>
      <c r="CX94" s="959">
        <v>0</v>
      </c>
      <c r="CY94" s="967">
        <f t="shared" si="18"/>
        <v>-1</v>
      </c>
      <c r="CZ94" s="966">
        <f>CW94/(X94*I94)*60</f>
        <v>0.31640007031118239</v>
      </c>
      <c r="DA94" s="966">
        <f>CX94/(X94*I94)*60</f>
        <v>0</v>
      </c>
      <c r="DB94" s="966">
        <f>CY94/(X94*I94)*60</f>
        <v>-0.31640007031118239</v>
      </c>
      <c r="DC94" s="9">
        <v>5</v>
      </c>
      <c r="DD94" s="9">
        <v>4</v>
      </c>
      <c r="DE94" s="971">
        <v>6.45</v>
      </c>
      <c r="DF94" s="971">
        <v>5.98</v>
      </c>
      <c r="DG94" s="971">
        <v>6.88</v>
      </c>
      <c r="DH94" s="971">
        <v>6.2</v>
      </c>
      <c r="DI94" s="959"/>
      <c r="DJ94" s="959"/>
      <c r="DK94" s="962" t="str">
        <f t="shared" si="19"/>
        <v xml:space="preserve"> </v>
      </c>
      <c r="DL94" s="967"/>
      <c r="DM94" s="967"/>
      <c r="DN94" s="959"/>
      <c r="DO94" s="959"/>
      <c r="DP94" s="959"/>
      <c r="DQ94" s="959"/>
      <c r="DR94" s="959"/>
      <c r="DS94" s="959"/>
      <c r="DT94" s="959"/>
      <c r="DU94" s="967"/>
      <c r="DV94" s="959"/>
      <c r="DW94" s="959"/>
      <c r="DX94" s="959"/>
      <c r="DY94" s="959"/>
      <c r="DZ94" s="959"/>
      <c r="EA94" s="9"/>
    </row>
    <row r="95" spans="1:131" ht="26.25" x14ac:dyDescent="0.25">
      <c r="A95" s="9" t="s">
        <v>442</v>
      </c>
      <c r="B95" s="9" t="s">
        <v>337</v>
      </c>
      <c r="C95" s="10" t="s">
        <v>443</v>
      </c>
      <c r="D95" s="959" t="s">
        <v>274</v>
      </c>
      <c r="E95" s="9" t="s">
        <v>155</v>
      </c>
      <c r="F95" s="9">
        <f>2/18</f>
        <v>0.1111111111111111</v>
      </c>
      <c r="G95" s="9" t="s">
        <v>456</v>
      </c>
      <c r="H95" s="9">
        <f>43/65</f>
        <v>0.66153846153846152</v>
      </c>
      <c r="I95" s="9">
        <v>18</v>
      </c>
      <c r="J95" s="9">
        <v>1</v>
      </c>
      <c r="K95" s="9">
        <v>1</v>
      </c>
      <c r="L95" s="957">
        <f>J95+K95</f>
        <v>2</v>
      </c>
      <c r="M95" s="958">
        <f t="shared" si="0"/>
        <v>0.64952638700947229</v>
      </c>
      <c r="N95" s="959">
        <v>1</v>
      </c>
      <c r="O95" s="959">
        <v>1</v>
      </c>
      <c r="P95" s="959">
        <v>0</v>
      </c>
      <c r="Q95" s="959">
        <v>18</v>
      </c>
      <c r="R95" s="959">
        <v>3</v>
      </c>
      <c r="S95" s="959">
        <v>3</v>
      </c>
      <c r="T95" s="959">
        <v>16</v>
      </c>
      <c r="U95" s="960">
        <f>IF(Q95&gt;0,J95/Q95,0)</f>
        <v>5.5555555555555552E-2</v>
      </c>
      <c r="V95" s="960">
        <f>IF(SUM(Q95:S95)&gt;0,J95/SUM(Q95:S95),0)</f>
        <v>4.1666666666666664E-2</v>
      </c>
      <c r="W95" s="961">
        <v>184.75</v>
      </c>
      <c r="X95" s="961">
        <f>W95/I95</f>
        <v>10.263888888888889</v>
      </c>
      <c r="Y95" s="961">
        <v>185.89</v>
      </c>
      <c r="Z95" s="961">
        <f>Y95/I95</f>
        <v>10.327222222222222</v>
      </c>
      <c r="AA95" s="961">
        <v>714.14</v>
      </c>
      <c r="AB95" s="961">
        <f>AA95/I95</f>
        <v>39.674444444444447</v>
      </c>
      <c r="AC95" s="962">
        <f t="shared" si="1"/>
        <v>0.20653755985911582</v>
      </c>
      <c r="AD95" s="963">
        <f t="shared" si="2"/>
        <v>22</v>
      </c>
      <c r="AE95">
        <v>13</v>
      </c>
      <c r="AF95" s="959">
        <v>42</v>
      </c>
      <c r="AG95" s="959">
        <v>8</v>
      </c>
      <c r="AH95" s="959">
        <v>3</v>
      </c>
      <c r="AI95" s="959">
        <v>2</v>
      </c>
      <c r="AJ95" s="960">
        <f>IF(N95&gt;0,J95/BU95,0)</f>
        <v>0.33333333333333331</v>
      </c>
      <c r="AK95" s="960">
        <f t="shared" si="3"/>
        <v>0.33333333333333331</v>
      </c>
      <c r="AL95" s="960">
        <f t="shared" si="4"/>
        <v>0.66666666666666663</v>
      </c>
      <c r="AM95" s="959">
        <v>31</v>
      </c>
      <c r="AN95" s="962">
        <f t="shared" si="5"/>
        <v>0.17127071823204421</v>
      </c>
      <c r="AO95" s="959">
        <v>80</v>
      </c>
      <c r="AP95" s="962">
        <f t="shared" si="6"/>
        <v>0.44198895027624308</v>
      </c>
      <c r="AQ95" s="959">
        <v>70</v>
      </c>
      <c r="AR95" s="962">
        <f t="shared" si="7"/>
        <v>0.38674033149171272</v>
      </c>
      <c r="AS95" s="962">
        <f t="shared" si="8"/>
        <v>0.27927927927927926</v>
      </c>
      <c r="AT95" s="959">
        <v>1</v>
      </c>
      <c r="AU95" s="964">
        <v>-13.89</v>
      </c>
      <c r="AV95" s="965">
        <v>56</v>
      </c>
      <c r="AW95" s="965">
        <v>59</v>
      </c>
      <c r="AX95" s="965">
        <v>63</v>
      </c>
      <c r="AY95" s="962">
        <f t="shared" si="9"/>
        <v>0.48695652173913045</v>
      </c>
      <c r="AZ95" s="966">
        <v>16.940000000000001</v>
      </c>
      <c r="BA95" s="967">
        <v>11</v>
      </c>
      <c r="BB95" s="965">
        <v>-0.153</v>
      </c>
      <c r="BC95" s="959">
        <v>10</v>
      </c>
      <c r="BD95" s="968">
        <v>0.624</v>
      </c>
      <c r="BE95" s="961">
        <v>50.15</v>
      </c>
      <c r="BF95" s="966">
        <v>16.260000000000002</v>
      </c>
      <c r="BG95" s="968">
        <v>-1.0469999999999999</v>
      </c>
      <c r="BH95" s="968">
        <v>-26.327999999999999</v>
      </c>
      <c r="BI95" s="961">
        <v>39.590000000000003</v>
      </c>
      <c r="BJ95" s="962">
        <f t="shared" si="10"/>
        <v>4.5454545454545456E-2</v>
      </c>
      <c r="BK95" s="969">
        <f t="shared" si="11"/>
        <v>0.92045454545454541</v>
      </c>
      <c r="BL95" s="967">
        <f t="shared" si="12"/>
        <v>965.90909090909088</v>
      </c>
      <c r="BM95" s="962">
        <f t="shared" si="13"/>
        <v>-3.409090909090913E-2</v>
      </c>
      <c r="BN95" s="966">
        <f>BU95/(Z95*I95)*60</f>
        <v>0.9683145946527516</v>
      </c>
      <c r="BO95" s="966">
        <f>BV95/(Z95*I95)*60</f>
        <v>2.2594007208564206</v>
      </c>
      <c r="BP95" s="961">
        <f>(BU95+BW95)/(Z95*I95)*60</f>
        <v>21.302921082360537</v>
      </c>
      <c r="BQ95" s="961">
        <f>(BV95+BX95)/(Z95*I95)*60</f>
        <v>28.403894776480719</v>
      </c>
      <c r="BR95" s="961">
        <f>(BU95+BW95+BY95+CB95)/(Z95*I95)*60</f>
        <v>34.859325407499064</v>
      </c>
      <c r="BS95" s="961">
        <f>(BV95+BX95+BZ95+CA95)/(Z95*I95)*60</f>
        <v>62.940448652428856</v>
      </c>
      <c r="BT95" s="961">
        <f t="shared" si="14"/>
        <v>-28.081123244929792</v>
      </c>
      <c r="BU95" s="959">
        <v>3</v>
      </c>
      <c r="BV95" s="959">
        <v>7</v>
      </c>
      <c r="BW95" s="967">
        <v>63</v>
      </c>
      <c r="BX95" s="967">
        <v>81</v>
      </c>
      <c r="BY95" s="967">
        <v>20</v>
      </c>
      <c r="BZ95" s="967">
        <v>44</v>
      </c>
      <c r="CA95" s="967">
        <v>63</v>
      </c>
      <c r="CB95" s="967">
        <v>22</v>
      </c>
      <c r="CC95" s="959">
        <v>48</v>
      </c>
      <c r="CD95" s="959">
        <v>96</v>
      </c>
      <c r="CE95" s="962">
        <f t="shared" si="15"/>
        <v>0.33333333333333331</v>
      </c>
      <c r="CF95" s="964">
        <v>-8.68</v>
      </c>
      <c r="CG95" s="970">
        <f t="shared" si="16"/>
        <v>4.0781740523675083</v>
      </c>
      <c r="CH95" s="966">
        <f>CO95/(AB95*I95)*60</f>
        <v>1.9323942084185171</v>
      </c>
      <c r="CI95" s="966">
        <f>CP95/(AB95*I95)*60</f>
        <v>3.0246170218724617</v>
      </c>
      <c r="CJ95" s="966">
        <f>(CO95+CQ95)/(AB95*I95)*60</f>
        <v>26.213347522894665</v>
      </c>
      <c r="CK95" s="966">
        <f>(CP95+CR95)/(AB95*I95)*60</f>
        <v>35.875318564987253</v>
      </c>
      <c r="CL95" s="966">
        <f>(CO95+CQ95+CS95+CV95)/(AB95*I95)*60</f>
        <v>46.293443862547953</v>
      </c>
      <c r="CM95" s="966">
        <f>(CP95+CR95+CT95+CU95)/(AB95*I95)*60</f>
        <v>72.086705687960333</v>
      </c>
      <c r="CN95" s="961">
        <f t="shared" si="17"/>
        <v>-2.2878614195174123</v>
      </c>
      <c r="CO95" s="967">
        <v>23</v>
      </c>
      <c r="CP95" s="967">
        <v>36</v>
      </c>
      <c r="CQ95" s="967">
        <v>289</v>
      </c>
      <c r="CR95" s="967">
        <v>391</v>
      </c>
      <c r="CS95" s="967">
        <v>104</v>
      </c>
      <c r="CT95" s="967">
        <v>168</v>
      </c>
      <c r="CU95" s="967">
        <v>263</v>
      </c>
      <c r="CV95" s="967">
        <v>135</v>
      </c>
      <c r="CW95" s="959">
        <v>1</v>
      </c>
      <c r="CX95" s="959">
        <v>1</v>
      </c>
      <c r="CY95" s="967">
        <f t="shared" si="18"/>
        <v>0</v>
      </c>
      <c r="CZ95" s="966">
        <f>CW95/(X95*I95)*60</f>
        <v>0.32476319350473615</v>
      </c>
      <c r="DA95" s="966">
        <f>CX95/(X95*I95)*60</f>
        <v>0.32476319350473615</v>
      </c>
      <c r="DB95" s="966">
        <f>CY95/(X95*I95)*60</f>
        <v>0</v>
      </c>
      <c r="DC95" s="9">
        <v>5</v>
      </c>
      <c r="DD95" s="9">
        <v>7</v>
      </c>
      <c r="DE95" s="971">
        <v>4.63</v>
      </c>
      <c r="DF95" s="971">
        <v>8.8699999999999992</v>
      </c>
      <c r="DG95" s="971">
        <v>5.12</v>
      </c>
      <c r="DH95" s="971">
        <v>8.17</v>
      </c>
      <c r="DI95" s="9">
        <v>68</v>
      </c>
      <c r="DJ95" s="9">
        <v>102</v>
      </c>
      <c r="DK95" s="962">
        <f t="shared" si="19"/>
        <v>0.4</v>
      </c>
      <c r="DL95" s="967">
        <v>27</v>
      </c>
      <c r="DM95" s="967">
        <v>8</v>
      </c>
      <c r="DN95" s="9">
        <v>1</v>
      </c>
      <c r="DO95" s="9">
        <v>1</v>
      </c>
      <c r="DP95" s="9">
        <v>0</v>
      </c>
      <c r="DQ95" s="9">
        <v>0</v>
      </c>
      <c r="DR95" s="9">
        <v>0</v>
      </c>
      <c r="DS95" s="9">
        <v>0</v>
      </c>
      <c r="DT95" s="9">
        <v>77</v>
      </c>
      <c r="DU95" s="973">
        <v>30</v>
      </c>
      <c r="DV95" s="9">
        <v>0</v>
      </c>
      <c r="DW95" s="9">
        <v>15</v>
      </c>
      <c r="DX95" s="9">
        <v>-0.19500000000000001</v>
      </c>
      <c r="DY95" s="9">
        <v>0</v>
      </c>
      <c r="DZ95" s="9">
        <v>2</v>
      </c>
      <c r="EA95" s="9">
        <v>-2.6000000000000002E-2</v>
      </c>
    </row>
    <row r="96" spans="1:131" ht="26.25" x14ac:dyDescent="0.25">
      <c r="A96" s="9" t="s">
        <v>444</v>
      </c>
      <c r="B96" s="9" t="s">
        <v>333</v>
      </c>
      <c r="C96" s="10" t="s">
        <v>445</v>
      </c>
      <c r="D96" s="9" t="s">
        <v>348</v>
      </c>
      <c r="E96" s="9" t="s">
        <v>217</v>
      </c>
      <c r="F96" s="9">
        <f>2/11</f>
        <v>0.18181818181818182</v>
      </c>
      <c r="G96" s="9" t="s">
        <v>464</v>
      </c>
      <c r="H96" s="9">
        <f>32/57</f>
        <v>0.56140350877192979</v>
      </c>
      <c r="I96" s="9">
        <v>11</v>
      </c>
      <c r="J96" s="9">
        <v>1</v>
      </c>
      <c r="K96" s="9">
        <v>1</v>
      </c>
      <c r="L96" s="957">
        <f>J96+K96</f>
        <v>2</v>
      </c>
      <c r="M96" s="958">
        <f t="shared" si="0"/>
        <v>1.1916583912611718</v>
      </c>
      <c r="N96" s="959">
        <v>1</v>
      </c>
      <c r="O96" s="959">
        <v>1</v>
      </c>
      <c r="P96" s="959">
        <v>0</v>
      </c>
      <c r="Q96" s="959">
        <v>6</v>
      </c>
      <c r="R96" s="959">
        <v>0</v>
      </c>
      <c r="S96" s="959">
        <v>4</v>
      </c>
      <c r="T96" s="959">
        <v>6</v>
      </c>
      <c r="U96" s="960">
        <f>IF(Q96&gt;0,J96/Q96,0)</f>
        <v>0.16666666666666666</v>
      </c>
      <c r="V96" s="960">
        <f>IF(SUM(Q96:S96)&gt;0,J96/SUM(Q96:S96),0)</f>
        <v>0.1</v>
      </c>
      <c r="W96" s="961">
        <v>100.7</v>
      </c>
      <c r="X96" s="961">
        <f>W96/I96</f>
        <v>9.1545454545454543</v>
      </c>
      <c r="Y96" s="961">
        <v>98.37</v>
      </c>
      <c r="Z96" s="961">
        <f>Y96/I96</f>
        <v>8.9427272727272733</v>
      </c>
      <c r="AA96" s="961">
        <v>404.47</v>
      </c>
      <c r="AB96" s="961">
        <f>AA96/I96</f>
        <v>36.770000000000003</v>
      </c>
      <c r="AC96" s="962">
        <f t="shared" si="1"/>
        <v>0.1956288282555087</v>
      </c>
      <c r="AD96" s="963">
        <f t="shared" si="2"/>
        <v>7.5</v>
      </c>
      <c r="AE96">
        <v>2</v>
      </c>
      <c r="AF96" s="959">
        <v>21</v>
      </c>
      <c r="AG96" s="959">
        <v>9</v>
      </c>
      <c r="AH96" s="959">
        <v>1</v>
      </c>
      <c r="AI96" s="959">
        <v>5</v>
      </c>
      <c r="AJ96" s="960">
        <f>IF(N96&gt;0,J96/BU96,0)</f>
        <v>0.16666666666666666</v>
      </c>
      <c r="AK96" s="960">
        <f t="shared" si="3"/>
        <v>0.16666666666666666</v>
      </c>
      <c r="AL96" s="960">
        <f t="shared" si="4"/>
        <v>0.33333333333333331</v>
      </c>
      <c r="AM96" s="959">
        <v>39</v>
      </c>
      <c r="AN96" s="962">
        <f t="shared" si="5"/>
        <v>0.3482142857142857</v>
      </c>
      <c r="AO96" s="959">
        <v>33</v>
      </c>
      <c r="AP96" s="962">
        <f t="shared" si="6"/>
        <v>0.29464285714285715</v>
      </c>
      <c r="AQ96" s="959">
        <v>40</v>
      </c>
      <c r="AR96" s="962">
        <f t="shared" si="7"/>
        <v>0.35714285714285715</v>
      </c>
      <c r="AS96" s="962">
        <f t="shared" si="8"/>
        <v>0.54166666666666663</v>
      </c>
      <c r="AT96" s="959">
        <v>12</v>
      </c>
      <c r="AU96" s="964">
        <v>8.99</v>
      </c>
      <c r="AV96" s="965">
        <v>50</v>
      </c>
      <c r="AW96" s="965">
        <v>31</v>
      </c>
      <c r="AX96" s="965">
        <v>33</v>
      </c>
      <c r="AY96" s="962">
        <f t="shared" si="9"/>
        <v>0.61728395061728392</v>
      </c>
      <c r="AZ96" s="966">
        <v>17.13</v>
      </c>
      <c r="BA96" s="967">
        <v>7</v>
      </c>
      <c r="BB96" s="965">
        <v>0.42</v>
      </c>
      <c r="BC96" s="959">
        <v>7</v>
      </c>
      <c r="BD96" s="968">
        <v>2.2149999999999999</v>
      </c>
      <c r="BE96" s="961">
        <v>49.98</v>
      </c>
      <c r="BF96" s="966">
        <v>18.02</v>
      </c>
      <c r="BG96" s="968">
        <v>2.113</v>
      </c>
      <c r="BH96" s="968">
        <v>-13.026</v>
      </c>
      <c r="BI96" s="961">
        <v>45.75</v>
      </c>
      <c r="BJ96" s="962">
        <f t="shared" si="10"/>
        <v>0.13333333333333333</v>
      </c>
      <c r="BK96" s="969">
        <f t="shared" si="11"/>
        <v>0.89795918367346939</v>
      </c>
      <c r="BL96" s="967">
        <f t="shared" si="12"/>
        <v>1031.2925170068027</v>
      </c>
      <c r="BM96" s="962">
        <f t="shared" si="13"/>
        <v>3.1292517006802717E-2</v>
      </c>
      <c r="BN96" s="966">
        <f>BU96/(Z96*I96)*60</f>
        <v>3.6596523330283621</v>
      </c>
      <c r="BO96" s="966">
        <f>BV96/(Z96*I96)*60</f>
        <v>3.0497102775236353</v>
      </c>
      <c r="BP96" s="961">
        <f>(BU96+BW96)/(Z96*I96)*60</f>
        <v>27.447392497712716</v>
      </c>
      <c r="BQ96" s="961">
        <f>(BV96+BX96)/(Z96*I96)*60</f>
        <v>29.887160719731622</v>
      </c>
      <c r="BR96" s="961">
        <f>(BU96+BW96+BY96+CB96)/(Z96*I96)*60</f>
        <v>46.965538273863977</v>
      </c>
      <c r="BS96" s="961">
        <f>(BV96+BX96+BZ96+CA96)/(Z96*I96)*60</f>
        <v>52.45501677340652</v>
      </c>
      <c r="BT96" s="961">
        <f t="shared" si="14"/>
        <v>-5.4894784995425425</v>
      </c>
      <c r="BU96" s="959">
        <v>6</v>
      </c>
      <c r="BV96" s="959">
        <v>5</v>
      </c>
      <c r="BW96" s="967">
        <v>39</v>
      </c>
      <c r="BX96" s="967">
        <v>44</v>
      </c>
      <c r="BY96" s="967">
        <v>10</v>
      </c>
      <c r="BZ96" s="967">
        <v>16</v>
      </c>
      <c r="CA96" s="967">
        <v>21</v>
      </c>
      <c r="CB96" s="967">
        <v>22</v>
      </c>
      <c r="CC96" s="959">
        <v>34</v>
      </c>
      <c r="CD96" s="959">
        <v>41</v>
      </c>
      <c r="CE96" s="962">
        <f t="shared" si="15"/>
        <v>0.45333333333333331</v>
      </c>
      <c r="CF96" s="964">
        <v>0.5</v>
      </c>
      <c r="CG96" s="970">
        <f t="shared" si="16"/>
        <v>8.6615215004574573</v>
      </c>
      <c r="CH96" s="966">
        <f>CO96/(AB96*I96)*60</f>
        <v>2.5218186762924319</v>
      </c>
      <c r="CI96" s="966">
        <f>CP96/(AB96*I96)*60</f>
        <v>1.7801073009123047</v>
      </c>
      <c r="CJ96" s="966">
        <f>(CO96+CQ96)/(AB96*I96)*60</f>
        <v>27.740005439216748</v>
      </c>
      <c r="CK96" s="966">
        <f>(CP96+CR96)/(AB96*I96)*60</f>
        <v>35.45380374317007</v>
      </c>
      <c r="CL96" s="966">
        <f>(CO96+CQ96+CS96+CV96)/(AB96*I96)*60</f>
        <v>50.881400351076714</v>
      </c>
      <c r="CM96" s="966">
        <f>(CP96+CR96+CT96+CU96)/(AB96*I96)*60</f>
        <v>71.204292036492191</v>
      </c>
      <c r="CN96" s="961">
        <f t="shared" si="17"/>
        <v>14.833413185872935</v>
      </c>
      <c r="CO96" s="967">
        <v>17</v>
      </c>
      <c r="CP96" s="967">
        <v>12</v>
      </c>
      <c r="CQ96" s="967">
        <v>170</v>
      </c>
      <c r="CR96" s="967">
        <v>227</v>
      </c>
      <c r="CS96" s="967">
        <v>73</v>
      </c>
      <c r="CT96" s="967">
        <v>101</v>
      </c>
      <c r="CU96" s="967">
        <v>140</v>
      </c>
      <c r="CV96" s="967">
        <v>83</v>
      </c>
      <c r="CW96" s="959">
        <v>2</v>
      </c>
      <c r="CX96" s="959">
        <v>0</v>
      </c>
      <c r="CY96" s="967">
        <f t="shared" si="18"/>
        <v>-2</v>
      </c>
      <c r="CZ96" s="966">
        <f>CW96/(X96*I96)*60</f>
        <v>1.1916583912611718</v>
      </c>
      <c r="DA96" s="966">
        <f>CX96/(X96*I96)*60</f>
        <v>0</v>
      </c>
      <c r="DB96" s="966">
        <f>CY96/(X96*I96)*60</f>
        <v>-1.1916583912611718</v>
      </c>
      <c r="DC96" s="9">
        <v>3</v>
      </c>
      <c r="DD96" s="9">
        <v>3</v>
      </c>
      <c r="DE96" s="971">
        <v>3.79</v>
      </c>
      <c r="DF96" s="971">
        <v>3.86</v>
      </c>
      <c r="DG96" s="971">
        <v>3.33</v>
      </c>
      <c r="DH96" s="971">
        <v>4.1399999999999997</v>
      </c>
      <c r="DI96" s="9">
        <v>0</v>
      </c>
      <c r="DJ96" s="9">
        <v>0</v>
      </c>
      <c r="DK96" s="962" t="str">
        <f t="shared" si="19"/>
        <v xml:space="preserve"> </v>
      </c>
      <c r="DL96" s="967"/>
      <c r="DM96" s="967"/>
      <c r="DN96" s="959"/>
      <c r="DO96" s="959"/>
      <c r="DP96" s="959"/>
      <c r="DQ96" s="959"/>
      <c r="DR96" s="959"/>
      <c r="DS96" s="959"/>
      <c r="DT96" s="959"/>
      <c r="DU96" s="967"/>
      <c r="DV96" s="959"/>
      <c r="DW96" s="959"/>
      <c r="DX96" s="959"/>
      <c r="DY96" s="959"/>
      <c r="DZ96" s="959"/>
      <c r="EA96" s="9"/>
    </row>
    <row r="97" spans="1:131" ht="26.25" x14ac:dyDescent="0.25">
      <c r="A97" s="9" t="s">
        <v>446</v>
      </c>
      <c r="B97" s="9" t="s">
        <v>335</v>
      </c>
      <c r="C97" s="10" t="s">
        <v>447</v>
      </c>
      <c r="D97" s="9" t="s">
        <v>375</v>
      </c>
      <c r="E97" s="9" t="s">
        <v>132</v>
      </c>
      <c r="F97" s="9">
        <f>2/14</f>
        <v>0.14285714285714285</v>
      </c>
      <c r="G97" s="9" t="s">
        <v>457</v>
      </c>
      <c r="H97" s="9">
        <f>33/40</f>
        <v>0.82499999999999996</v>
      </c>
      <c r="I97" s="9">
        <v>14</v>
      </c>
      <c r="J97" s="9">
        <v>1</v>
      </c>
      <c r="K97" s="9">
        <v>1</v>
      </c>
      <c r="L97" s="957">
        <f>J97+K97</f>
        <v>2</v>
      </c>
      <c r="M97" s="958">
        <f t="shared" si="0"/>
        <v>0.74395536267823925</v>
      </c>
      <c r="N97" s="959">
        <v>1</v>
      </c>
      <c r="O97" s="959">
        <v>0</v>
      </c>
      <c r="P97" s="959">
        <v>1</v>
      </c>
      <c r="Q97" s="959">
        <v>26</v>
      </c>
      <c r="R97" s="959">
        <v>5</v>
      </c>
      <c r="S97" s="959">
        <v>5</v>
      </c>
      <c r="T97" s="959">
        <v>22</v>
      </c>
      <c r="U97" s="960">
        <f>IF(Q97&gt;0,J97/Q97,0)</f>
        <v>3.8461538461538464E-2</v>
      </c>
      <c r="V97" s="960">
        <f>IF(SUM(Q97:S97)&gt;0,J97/SUM(Q97:S97),0)</f>
        <v>2.7777777777777776E-2</v>
      </c>
      <c r="W97" s="961">
        <v>161.30000000000001</v>
      </c>
      <c r="X97" s="961">
        <f>W97/I97</f>
        <v>11.521428571428572</v>
      </c>
      <c r="Y97" s="961">
        <v>154.16</v>
      </c>
      <c r="Z97" s="961">
        <f>Y97/I97</f>
        <v>11.011428571428571</v>
      </c>
      <c r="AA97" s="961">
        <v>503.18</v>
      </c>
      <c r="AB97" s="961">
        <f>AA97/I97</f>
        <v>35.941428571428574</v>
      </c>
      <c r="AC97" s="962">
        <f t="shared" si="1"/>
        <v>0.23452094806340706</v>
      </c>
      <c r="AD97" s="963">
        <f t="shared" si="2"/>
        <v>0</v>
      </c>
      <c r="AE97">
        <v>3</v>
      </c>
      <c r="AF97" s="959">
        <v>19</v>
      </c>
      <c r="AG97" s="959">
        <v>21</v>
      </c>
      <c r="AH97" s="959">
        <v>5</v>
      </c>
      <c r="AI97" s="959">
        <v>2</v>
      </c>
      <c r="AJ97" s="960">
        <f>IF(N97&gt;0,J97/BU97,0)</f>
        <v>0.2</v>
      </c>
      <c r="AK97" s="960">
        <f t="shared" si="3"/>
        <v>0.2</v>
      </c>
      <c r="AL97" s="960">
        <f t="shared" si="4"/>
        <v>0.4</v>
      </c>
      <c r="AM97" s="959">
        <v>53</v>
      </c>
      <c r="AN97" s="962">
        <f t="shared" si="5"/>
        <v>0.34193548387096773</v>
      </c>
      <c r="AO97" s="959">
        <v>37</v>
      </c>
      <c r="AP97" s="962">
        <f t="shared" si="6"/>
        <v>0.23870967741935484</v>
      </c>
      <c r="AQ97" s="959">
        <v>65</v>
      </c>
      <c r="AR97" s="962">
        <f t="shared" si="7"/>
        <v>0.41935483870967744</v>
      </c>
      <c r="AS97" s="962">
        <f t="shared" si="8"/>
        <v>0.58888888888888891</v>
      </c>
      <c r="AT97" s="959">
        <v>11</v>
      </c>
      <c r="AU97" s="964">
        <v>8.7100000000000009</v>
      </c>
      <c r="AV97" s="965">
        <v>48</v>
      </c>
      <c r="AW97" s="965">
        <v>57</v>
      </c>
      <c r="AX97" s="965">
        <v>52</v>
      </c>
      <c r="AY97" s="962">
        <f t="shared" si="9"/>
        <v>0.45714285714285713</v>
      </c>
      <c r="AZ97" s="966">
        <v>17.45</v>
      </c>
      <c r="BA97" s="967">
        <v>7</v>
      </c>
      <c r="BB97" s="965">
        <v>0.246</v>
      </c>
      <c r="BC97" s="959">
        <v>8</v>
      </c>
      <c r="BD97" s="968">
        <v>0.82500000000000007</v>
      </c>
      <c r="BE97" s="961">
        <v>50.68</v>
      </c>
      <c r="BF97" s="966">
        <v>18.149999999999999</v>
      </c>
      <c r="BG97" s="968">
        <v>1.4</v>
      </c>
      <c r="BH97" s="968">
        <v>5.8070000000000004</v>
      </c>
      <c r="BI97" s="961">
        <v>50.77</v>
      </c>
      <c r="BJ97" s="962">
        <f t="shared" si="10"/>
        <v>6.4935064935064929E-2</v>
      </c>
      <c r="BK97" s="969">
        <f t="shared" si="11"/>
        <v>0.89873417721518989</v>
      </c>
      <c r="BL97" s="967">
        <f t="shared" si="12"/>
        <v>963.66924215025483</v>
      </c>
      <c r="BM97" s="962">
        <f t="shared" si="13"/>
        <v>-3.6330757849745182E-2</v>
      </c>
      <c r="BN97" s="966">
        <f>BU97/(Z97*I97)*60</f>
        <v>1.9460300985988583</v>
      </c>
      <c r="BO97" s="966">
        <f>BV97/(Z97*I97)*60</f>
        <v>3.1136481577581732</v>
      </c>
      <c r="BP97" s="961">
        <f>(BU97+BW97)/(Z97*I97)*60</f>
        <v>29.96886351842242</v>
      </c>
      <c r="BQ97" s="961">
        <f>(BV97+BX97)/(Z97*I97)*60</f>
        <v>30.747275557861961</v>
      </c>
      <c r="BR97" s="961">
        <f>(BU97+BW97+BY97+CB97)/(Z97*I97)*60</f>
        <v>57.213284898806435</v>
      </c>
      <c r="BS97" s="961">
        <f>(BV97+BX97+BZ97+CA97)/(Z97*I97)*60</f>
        <v>53.710430721328493</v>
      </c>
      <c r="BT97" s="961">
        <f t="shared" si="14"/>
        <v>3.5028541774779427</v>
      </c>
      <c r="BU97" s="959">
        <v>5</v>
      </c>
      <c r="BV97" s="959">
        <v>8</v>
      </c>
      <c r="BW97" s="967">
        <v>72</v>
      </c>
      <c r="BX97" s="967">
        <v>71</v>
      </c>
      <c r="BY97" s="967">
        <v>30</v>
      </c>
      <c r="BZ97" s="967">
        <v>25</v>
      </c>
      <c r="CA97" s="967">
        <v>34</v>
      </c>
      <c r="CB97" s="967">
        <v>40</v>
      </c>
      <c r="CC97" s="959">
        <v>73</v>
      </c>
      <c r="CD97" s="959">
        <v>72</v>
      </c>
      <c r="CE97" s="962">
        <f t="shared" si="15"/>
        <v>0.50344827586206897</v>
      </c>
      <c r="CF97" s="964">
        <v>-1.7000000000000002</v>
      </c>
      <c r="CG97" s="970">
        <f t="shared" si="16"/>
        <v>-3.7024791558553902</v>
      </c>
      <c r="CH97" s="966">
        <f>CO97/(AB97*I97)*60</f>
        <v>2.9810405818991215</v>
      </c>
      <c r="CI97" s="966">
        <f>CP97/(AB97*I97)*60</f>
        <v>2.1463492189673672</v>
      </c>
      <c r="CJ97" s="966">
        <f>(CO97+CQ97)/(AB97*I97)*60</f>
        <v>32.910688024166298</v>
      </c>
      <c r="CK97" s="966">
        <f>(CP97+CR97)/(AB97*I97)*60</f>
        <v>30.168130688819108</v>
      </c>
      <c r="CL97" s="966">
        <f>(CO97+CQ97+CS97+CV97)/(AB97*I97)*60</f>
        <v>59.620811637982428</v>
      </c>
      <c r="CM97" s="966">
        <f>(CP97+CR97+CT97+CU97)/(AB97*I97)*60</f>
        <v>55.44735482332365</v>
      </c>
      <c r="CN97" s="961">
        <f t="shared" si="17"/>
        <v>-0.6706026371808349</v>
      </c>
      <c r="CO97" s="967">
        <v>25</v>
      </c>
      <c r="CP97" s="967">
        <v>18</v>
      </c>
      <c r="CQ97" s="967">
        <v>251</v>
      </c>
      <c r="CR97" s="967">
        <v>235</v>
      </c>
      <c r="CS97" s="967">
        <v>83</v>
      </c>
      <c r="CT97" s="967">
        <v>90</v>
      </c>
      <c r="CU97" s="967">
        <v>122</v>
      </c>
      <c r="CV97" s="967">
        <v>141</v>
      </c>
      <c r="CW97" s="959">
        <v>0</v>
      </c>
      <c r="CX97" s="959">
        <v>3</v>
      </c>
      <c r="CY97" s="967">
        <f t="shared" si="18"/>
        <v>3</v>
      </c>
      <c r="CZ97" s="966">
        <f>CW97/(X97*I97)*60</f>
        <v>0</v>
      </c>
      <c r="DA97" s="966">
        <f>CX97/(X97*I97)*60</f>
        <v>1.1159330440173589</v>
      </c>
      <c r="DB97" s="966">
        <f>CY97/(X97*I97)*60</f>
        <v>1.1159330440173589</v>
      </c>
      <c r="DC97" s="9">
        <v>5</v>
      </c>
      <c r="DD97" s="9">
        <v>6</v>
      </c>
      <c r="DE97" s="971">
        <v>5.86</v>
      </c>
      <c r="DF97" s="971">
        <v>5.45</v>
      </c>
      <c r="DG97" s="971">
        <v>5.65</v>
      </c>
      <c r="DH97" s="971">
        <v>5.52</v>
      </c>
      <c r="DI97" s="9">
        <v>0</v>
      </c>
      <c r="DJ97" s="9">
        <v>0</v>
      </c>
      <c r="DK97" s="962" t="str">
        <f t="shared" si="19"/>
        <v xml:space="preserve"> </v>
      </c>
      <c r="DL97" s="967"/>
      <c r="DM97" s="967"/>
      <c r="DN97" s="959"/>
      <c r="DO97" s="959"/>
      <c r="DP97" s="959"/>
      <c r="DQ97" s="959"/>
      <c r="DR97" s="959"/>
      <c r="DS97" s="959"/>
      <c r="DT97" s="959"/>
      <c r="DU97" s="967"/>
      <c r="DV97" s="959"/>
      <c r="DW97" s="959"/>
      <c r="DX97" s="959"/>
      <c r="DY97" s="959"/>
      <c r="DZ97" s="959"/>
      <c r="EA97" s="9"/>
    </row>
    <row r="98" spans="1:131" ht="26.25" x14ac:dyDescent="0.25">
      <c r="A98" s="9" t="s">
        <v>448</v>
      </c>
      <c r="B98" s="9" t="s">
        <v>340</v>
      </c>
      <c r="C98" s="10" t="s">
        <v>449</v>
      </c>
      <c r="D98" s="959" t="s">
        <v>387</v>
      </c>
      <c r="E98" s="9" t="s">
        <v>132</v>
      </c>
      <c r="F98" s="9">
        <f>2/3</f>
        <v>0.66666666666666663</v>
      </c>
      <c r="G98" s="9" t="s">
        <v>456</v>
      </c>
      <c r="H98" s="9">
        <f>24/68</f>
        <v>0.35294117647058826</v>
      </c>
      <c r="I98" s="9">
        <v>3</v>
      </c>
      <c r="J98" s="9">
        <v>0</v>
      </c>
      <c r="K98" s="9">
        <v>2</v>
      </c>
      <c r="L98" s="957">
        <f>J98+K98</f>
        <v>2</v>
      </c>
      <c r="M98" s="958">
        <f t="shared" si="0"/>
        <v>4.2303172737905639</v>
      </c>
      <c r="N98" s="959">
        <v>0</v>
      </c>
      <c r="O98" s="959">
        <v>2</v>
      </c>
      <c r="P98" s="959">
        <v>0</v>
      </c>
      <c r="Q98" s="959">
        <v>2</v>
      </c>
      <c r="R98" s="959">
        <v>1</v>
      </c>
      <c r="S98" s="959">
        <v>2</v>
      </c>
      <c r="T98" s="959">
        <v>3</v>
      </c>
      <c r="U98" s="960">
        <f>IF(Q98&gt;0,J98/Q98,0)</f>
        <v>0</v>
      </c>
      <c r="V98" s="960">
        <f>IF(SUM(Q98:S98)&gt;0,J98/SUM(Q98:S98),0)</f>
        <v>0</v>
      </c>
      <c r="W98" s="961">
        <v>28.366666666699999</v>
      </c>
      <c r="X98" s="961">
        <f>W98/I98</f>
        <v>9.4555555555666668</v>
      </c>
      <c r="Y98" s="961">
        <v>28.89</v>
      </c>
      <c r="Z98" s="961">
        <f>Y98/I98</f>
        <v>9.6300000000000008</v>
      </c>
      <c r="AA98" s="961">
        <v>122.1</v>
      </c>
      <c r="AB98" s="961">
        <f>AA98/I98</f>
        <v>40.699999999999996</v>
      </c>
      <c r="AC98" s="962">
        <f t="shared" si="1"/>
        <v>0.19133717464732766</v>
      </c>
      <c r="AD98" s="963">
        <f t="shared" si="2"/>
        <v>14</v>
      </c>
      <c r="AE98">
        <v>1</v>
      </c>
      <c r="AF98" s="959">
        <v>4</v>
      </c>
      <c r="AG98" s="959">
        <v>2</v>
      </c>
      <c r="AH98" s="959">
        <v>1</v>
      </c>
      <c r="AI98" s="959">
        <v>1</v>
      </c>
      <c r="AJ98" s="960">
        <f>IF(N98&gt;0,J98/BU98,0)</f>
        <v>0</v>
      </c>
      <c r="AK98" s="960">
        <f t="shared" si="3"/>
        <v>1</v>
      </c>
      <c r="AL98" s="960">
        <f t="shared" si="4"/>
        <v>1</v>
      </c>
      <c r="AM98" s="959">
        <v>6</v>
      </c>
      <c r="AN98" s="962">
        <f t="shared" si="5"/>
        <v>0.22222222222222221</v>
      </c>
      <c r="AO98" s="959">
        <v>7</v>
      </c>
      <c r="AP98" s="962">
        <f t="shared" si="6"/>
        <v>0.25925925925925924</v>
      </c>
      <c r="AQ98" s="959">
        <v>14</v>
      </c>
      <c r="AR98" s="962">
        <f t="shared" si="7"/>
        <v>0.51851851851851849</v>
      </c>
      <c r="AS98" s="962">
        <f t="shared" si="8"/>
        <v>0.46153846153846156</v>
      </c>
      <c r="AT98" s="959">
        <v>2</v>
      </c>
      <c r="AU98" s="964">
        <v>0.18</v>
      </c>
      <c r="AV98" s="965">
        <v>9</v>
      </c>
      <c r="AW98" s="965">
        <v>13</v>
      </c>
      <c r="AX98" s="965">
        <v>11</v>
      </c>
      <c r="AY98" s="962">
        <f t="shared" si="9"/>
        <v>0.40909090909090912</v>
      </c>
      <c r="AZ98" s="966">
        <v>16.95</v>
      </c>
      <c r="BA98" s="967">
        <v>9</v>
      </c>
      <c r="BB98" s="965">
        <v>-0.98699999999999999</v>
      </c>
      <c r="BC98" s="959">
        <v>12</v>
      </c>
      <c r="BD98" s="968">
        <v>-3.2519999999999998</v>
      </c>
      <c r="BE98" s="961">
        <v>47.83</v>
      </c>
      <c r="BF98" s="966">
        <v>16.350000000000001</v>
      </c>
      <c r="BG98" s="968">
        <v>3.734</v>
      </c>
      <c r="BH98" s="968">
        <v>2.2320000000000002</v>
      </c>
      <c r="BI98" s="961">
        <v>47.34</v>
      </c>
      <c r="BJ98" s="962">
        <f t="shared" si="10"/>
        <v>0.14285714285714285</v>
      </c>
      <c r="BK98" s="969">
        <f t="shared" si="11"/>
        <v>0.9</v>
      </c>
      <c r="BL98" s="967">
        <f t="shared" si="12"/>
        <v>1042.8571428571429</v>
      </c>
      <c r="BM98" s="962">
        <f t="shared" si="13"/>
        <v>4.2857142857142871E-2</v>
      </c>
      <c r="BN98" s="966">
        <f>BU98/(Z98*I98)*60</f>
        <v>4.1536863966770508</v>
      </c>
      <c r="BO98" s="966">
        <f>BV98/(Z98*I98)*60</f>
        <v>2.0768431983385254</v>
      </c>
      <c r="BP98" s="961">
        <f>(BU98+BW98)/(Z98*I98)*60</f>
        <v>29.075804776739353</v>
      </c>
      <c r="BQ98" s="961">
        <f>(BV98+BX98)/(Z98*I98)*60</f>
        <v>20.768431983385256</v>
      </c>
      <c r="BR98" s="961">
        <f>(BU98+BW98+BY98+CB98)/(Z98*I98)*60</f>
        <v>60.228452751817237</v>
      </c>
      <c r="BS98" s="961">
        <f>(BV98+BX98+BZ98+CA98)/(Z98*I98)*60</f>
        <v>41.536863966770511</v>
      </c>
      <c r="BT98" s="961">
        <f t="shared" si="14"/>
        <v>18.691588785046726</v>
      </c>
      <c r="BU98" s="959">
        <v>2</v>
      </c>
      <c r="BV98" s="959">
        <v>1</v>
      </c>
      <c r="BW98" s="967">
        <v>12</v>
      </c>
      <c r="BX98" s="967">
        <v>9</v>
      </c>
      <c r="BY98" s="967">
        <v>4</v>
      </c>
      <c r="BZ98" s="967">
        <v>3</v>
      </c>
      <c r="CA98" s="967">
        <v>7</v>
      </c>
      <c r="CB98" s="967">
        <v>11</v>
      </c>
      <c r="CC98" s="959">
        <v>14</v>
      </c>
      <c r="CD98" s="959">
        <v>10</v>
      </c>
      <c r="CE98" s="962">
        <f t="shared" si="15"/>
        <v>0.58333333333333337</v>
      </c>
      <c r="CF98" s="964">
        <v>8.33</v>
      </c>
      <c r="CG98" s="970">
        <f t="shared" si="16"/>
        <v>14.040665708123651</v>
      </c>
      <c r="CH98" s="966">
        <f>CO98/(AB98*I98)*60</f>
        <v>2.4570024570024569</v>
      </c>
      <c r="CI98" s="966">
        <f>CP98/(AB98*I98)*60</f>
        <v>1.4742014742014744</v>
      </c>
      <c r="CJ98" s="966">
        <f>(CO98+CQ98)/(AB98*I98)*60</f>
        <v>28.501228501228503</v>
      </c>
      <c r="CK98" s="966">
        <f>(CP98+CR98)/(AB98*I98)*60</f>
        <v>32.432432432432435</v>
      </c>
      <c r="CL98" s="966">
        <f>(CO98+CQ98+CS98+CV98)/(AB98*I98)*60</f>
        <v>51.105651105651106</v>
      </c>
      <c r="CM98" s="966">
        <f>(CP98+CR98+CT98+CU98)/(AB98*I98)*60</f>
        <v>57.985257985257988</v>
      </c>
      <c r="CN98" s="961">
        <f t="shared" si="17"/>
        <v>25.571195664653608</v>
      </c>
      <c r="CO98" s="967">
        <v>5</v>
      </c>
      <c r="CP98" s="967">
        <v>3</v>
      </c>
      <c r="CQ98" s="967">
        <v>53</v>
      </c>
      <c r="CR98" s="967">
        <v>63</v>
      </c>
      <c r="CS98" s="967">
        <v>24</v>
      </c>
      <c r="CT98" s="967">
        <v>26</v>
      </c>
      <c r="CU98" s="967">
        <v>26</v>
      </c>
      <c r="CV98" s="967">
        <v>22</v>
      </c>
      <c r="CW98" s="959">
        <v>0</v>
      </c>
      <c r="CX98" s="959">
        <v>0</v>
      </c>
      <c r="CY98" s="967">
        <f t="shared" si="18"/>
        <v>0</v>
      </c>
      <c r="CZ98" s="966">
        <f>CW98/(X98*I98)*60</f>
        <v>0</v>
      </c>
      <c r="DA98" s="966">
        <f>CX98/(X98*I98)*60</f>
        <v>0</v>
      </c>
      <c r="DB98" s="966">
        <f>CY98/(X98*I98)*60</f>
        <v>0</v>
      </c>
      <c r="DC98" s="9">
        <v>1</v>
      </c>
      <c r="DD98" s="9">
        <v>1</v>
      </c>
      <c r="DE98" s="971">
        <v>0.91</v>
      </c>
      <c r="DF98" s="971">
        <v>0.89</v>
      </c>
      <c r="DG98" s="971">
        <v>0.99</v>
      </c>
      <c r="DH98" s="971">
        <v>0.96</v>
      </c>
      <c r="DI98" s="9">
        <v>0</v>
      </c>
      <c r="DJ98" s="9">
        <v>0</v>
      </c>
      <c r="DK98" s="962" t="str">
        <f t="shared" si="19"/>
        <v xml:space="preserve"> </v>
      </c>
      <c r="DL98" s="967"/>
      <c r="DM98" s="967"/>
      <c r="DN98" s="959"/>
      <c r="DO98" s="959"/>
      <c r="DP98" s="959"/>
      <c r="DQ98" s="959"/>
      <c r="DR98" s="959"/>
      <c r="DS98" s="959"/>
      <c r="DT98" s="959"/>
      <c r="DU98" s="967"/>
      <c r="DV98" s="959"/>
      <c r="DW98" s="959"/>
      <c r="DX98" s="959"/>
      <c r="DY98" s="959"/>
      <c r="DZ98" s="959"/>
      <c r="EA98" s="9"/>
    </row>
    <row r="99" spans="1:131" ht="39" x14ac:dyDescent="0.25">
      <c r="A99" s="9" t="s">
        <v>388</v>
      </c>
      <c r="B99" s="9" t="s">
        <v>314</v>
      </c>
      <c r="C99" s="10" t="s">
        <v>450</v>
      </c>
      <c r="D99" s="959" t="s">
        <v>405</v>
      </c>
      <c r="E99" s="9" t="s">
        <v>160</v>
      </c>
      <c r="F99" s="9">
        <f>2/12</f>
        <v>0.16666666666666666</v>
      </c>
      <c r="G99" s="9" t="s">
        <v>456</v>
      </c>
      <c r="H99" s="9">
        <f>7/58</f>
        <v>0.1206896551724138</v>
      </c>
      <c r="I99" s="9">
        <v>12</v>
      </c>
      <c r="J99" s="9">
        <v>0</v>
      </c>
      <c r="K99" s="9">
        <v>2</v>
      </c>
      <c r="L99" s="957">
        <f>J99+K99</f>
        <v>2</v>
      </c>
      <c r="M99" s="958">
        <f t="shared" si="0"/>
        <v>0.79707738292925934</v>
      </c>
      <c r="N99" s="959">
        <v>0</v>
      </c>
      <c r="O99" s="959">
        <v>0</v>
      </c>
      <c r="P99" s="959">
        <v>2</v>
      </c>
      <c r="Q99" s="959">
        <v>5</v>
      </c>
      <c r="R99" s="959">
        <v>2</v>
      </c>
      <c r="S99" s="959">
        <v>5</v>
      </c>
      <c r="T99" s="959">
        <v>5</v>
      </c>
      <c r="U99" s="960">
        <f>IF(Q99&gt;0,J99/Q99,0)</f>
        <v>0</v>
      </c>
      <c r="V99" s="960">
        <f>IF(SUM(Q99:S99)&gt;0,J99/SUM(Q99:S99),0)</f>
        <v>0</v>
      </c>
      <c r="W99" s="961">
        <v>150.55000000000001</v>
      </c>
      <c r="X99" s="961">
        <f>W99/I99</f>
        <v>12.545833333333334</v>
      </c>
      <c r="Y99" s="961">
        <v>149.63999999999999</v>
      </c>
      <c r="Z99" s="961">
        <f>Y99/I99</f>
        <v>12.469999999999999</v>
      </c>
      <c r="AA99" s="961">
        <v>412.4</v>
      </c>
      <c r="AB99" s="961">
        <f>AA99/I99</f>
        <v>34.366666666666667</v>
      </c>
      <c r="AC99" s="962">
        <f t="shared" si="1"/>
        <v>0.26624439541669631</v>
      </c>
      <c r="AD99" s="963">
        <f t="shared" si="2"/>
        <v>0</v>
      </c>
      <c r="AE99">
        <v>14</v>
      </c>
      <c r="AF99" s="959">
        <v>28</v>
      </c>
      <c r="AG99" s="959">
        <v>15</v>
      </c>
      <c r="AH99" s="959">
        <v>4</v>
      </c>
      <c r="AI99" s="959">
        <v>2</v>
      </c>
      <c r="AJ99" s="960">
        <f>IF(N99&gt;0,J99/BU99,0)</f>
        <v>0</v>
      </c>
      <c r="AK99" s="960">
        <f t="shared" si="3"/>
        <v>1</v>
      </c>
      <c r="AL99" s="960">
        <f t="shared" si="4"/>
        <v>1</v>
      </c>
      <c r="AM99" s="959">
        <v>29</v>
      </c>
      <c r="AN99" s="962">
        <f t="shared" si="5"/>
        <v>0.25</v>
      </c>
      <c r="AO99" s="959">
        <v>45</v>
      </c>
      <c r="AP99" s="962">
        <f t="shared" si="6"/>
        <v>0.38793103448275862</v>
      </c>
      <c r="AQ99" s="959">
        <v>42</v>
      </c>
      <c r="AR99" s="962">
        <f t="shared" si="7"/>
        <v>0.36206896551724138</v>
      </c>
      <c r="AS99" s="962">
        <f t="shared" si="8"/>
        <v>0.39189189189189189</v>
      </c>
      <c r="AT99" s="959">
        <v>1</v>
      </c>
      <c r="AU99" s="964">
        <v>-5.69</v>
      </c>
      <c r="AV99" s="965">
        <v>52</v>
      </c>
      <c r="AW99" s="965">
        <v>54</v>
      </c>
      <c r="AX99" s="965">
        <v>43</v>
      </c>
      <c r="AY99" s="962">
        <f t="shared" si="9"/>
        <v>0.49056603773584906</v>
      </c>
      <c r="AZ99" s="966">
        <v>16.79</v>
      </c>
      <c r="BA99" s="967">
        <v>8</v>
      </c>
      <c r="BB99" s="965">
        <v>0.14200000000000002</v>
      </c>
      <c r="BC99" s="959">
        <v>4</v>
      </c>
      <c r="BD99" s="968">
        <v>-3.1589999999999998</v>
      </c>
      <c r="BE99" s="961">
        <v>48.46</v>
      </c>
      <c r="BF99" s="966">
        <v>15.5</v>
      </c>
      <c r="BG99" s="968">
        <v>-0.27200000000000002</v>
      </c>
      <c r="BH99" s="968">
        <v>-6.7110000000000003</v>
      </c>
      <c r="BI99" s="961">
        <v>46.84</v>
      </c>
      <c r="BJ99" s="962">
        <f t="shared" si="10"/>
        <v>3.2786885245901641E-2</v>
      </c>
      <c r="BK99" s="969">
        <f t="shared" si="11"/>
        <v>0.91397849462365588</v>
      </c>
      <c r="BL99" s="967">
        <f t="shared" si="12"/>
        <v>946.76537986955759</v>
      </c>
      <c r="BM99" s="962">
        <f t="shared" si="13"/>
        <v>-5.323462013044248E-2</v>
      </c>
      <c r="BN99" s="966">
        <f>BU99/(Z99*I99)*60</f>
        <v>0.80192461908580603</v>
      </c>
      <c r="BO99" s="966">
        <f>BV99/(Z99*I99)*60</f>
        <v>3.2076984763432241</v>
      </c>
      <c r="BP99" s="961">
        <f>(BU99+BW99)/(Z99*I99)*60</f>
        <v>24.458700882117085</v>
      </c>
      <c r="BQ99" s="961">
        <f>(BV99+BX99)/(Z99*I99)*60</f>
        <v>37.289494787489978</v>
      </c>
      <c r="BR99" s="961">
        <f>(BU99+BW99+BY99+CB99)/(Z99*I99)*60</f>
        <v>42.502004811547714</v>
      </c>
      <c r="BS99" s="961">
        <f>(BV99+BX99+BZ99+CA99)/(Z99*I99)*60</f>
        <v>63.352044907778676</v>
      </c>
      <c r="BT99" s="961">
        <f t="shared" si="14"/>
        <v>-20.850040096230963</v>
      </c>
      <c r="BU99" s="959">
        <v>2</v>
      </c>
      <c r="BV99" s="959">
        <v>8</v>
      </c>
      <c r="BW99" s="967">
        <v>59</v>
      </c>
      <c r="BX99" s="967">
        <v>85</v>
      </c>
      <c r="BY99" s="967">
        <v>20</v>
      </c>
      <c r="BZ99" s="967">
        <v>30</v>
      </c>
      <c r="CA99" s="967">
        <v>35</v>
      </c>
      <c r="CB99" s="967">
        <v>25</v>
      </c>
      <c r="CC99" s="959">
        <v>51</v>
      </c>
      <c r="CD99" s="959">
        <v>88</v>
      </c>
      <c r="CE99" s="962">
        <f t="shared" si="15"/>
        <v>0.36690647482014388</v>
      </c>
      <c r="CF99" s="964">
        <v>-9.08</v>
      </c>
      <c r="CG99" s="970">
        <f t="shared" si="16"/>
        <v>-14.793445501636365</v>
      </c>
      <c r="CH99" s="966">
        <f>CO99/(AB99*I99)*60</f>
        <v>1.8913676042677012</v>
      </c>
      <c r="CI99" s="966">
        <f>CP99/(AB99*I99)*60</f>
        <v>3.6372453928225026</v>
      </c>
      <c r="CJ99" s="966">
        <f>(CO99+CQ99)/(AB99*I99)*60</f>
        <v>30.407371483996119</v>
      </c>
      <c r="CK99" s="966">
        <f>(CP99+CR99)/(AB99*I99)*60</f>
        <v>34.481086323957321</v>
      </c>
      <c r="CL99" s="966">
        <f>(CO99+CQ99+CS99+CV99)/(AB99*I99)*60</f>
        <v>55.431619786614938</v>
      </c>
      <c r="CM99" s="966">
        <f>(CP99+CR99+CT99+CU99)/(AB99*I99)*60</f>
        <v>61.542192046556742</v>
      </c>
      <c r="CN99" s="961">
        <f t="shared" si="17"/>
        <v>-14.739467836289158</v>
      </c>
      <c r="CO99" s="967">
        <v>13</v>
      </c>
      <c r="CP99" s="967">
        <v>25</v>
      </c>
      <c r="CQ99" s="967">
        <v>196</v>
      </c>
      <c r="CR99" s="967">
        <v>212</v>
      </c>
      <c r="CS99" s="967">
        <v>70</v>
      </c>
      <c r="CT99" s="967">
        <v>94</v>
      </c>
      <c r="CU99" s="967">
        <v>92</v>
      </c>
      <c r="CV99" s="967">
        <v>102</v>
      </c>
      <c r="CW99" s="959">
        <v>5</v>
      </c>
      <c r="CX99" s="959">
        <v>3</v>
      </c>
      <c r="CY99" s="967">
        <f t="shared" si="18"/>
        <v>-2</v>
      </c>
      <c r="CZ99" s="966">
        <f>CW99/(X99*I99)*60</f>
        <v>1.9926934573231485</v>
      </c>
      <c r="DA99" s="966">
        <f>CX99/(X99*I99)*60</f>
        <v>1.1956160743938891</v>
      </c>
      <c r="DB99" s="966">
        <f>CY99/(X99*I99)*60</f>
        <v>-0.79707738292925934</v>
      </c>
      <c r="DC99" s="9">
        <v>3</v>
      </c>
      <c r="DD99" s="9">
        <v>7</v>
      </c>
      <c r="DE99" s="971">
        <v>4.5999999999999996</v>
      </c>
      <c r="DF99" s="971">
        <v>6.74</v>
      </c>
      <c r="DG99" s="971">
        <v>5.22</v>
      </c>
      <c r="DH99" s="971">
        <v>5.92</v>
      </c>
      <c r="DI99" s="959"/>
      <c r="DJ99" s="959"/>
      <c r="DK99" s="962" t="str">
        <f t="shared" si="19"/>
        <v xml:space="preserve"> </v>
      </c>
      <c r="DL99" s="967"/>
      <c r="DM99" s="967"/>
      <c r="DN99" s="959"/>
      <c r="DO99" s="959"/>
      <c r="DP99" s="959"/>
      <c r="DQ99" s="959"/>
      <c r="DR99" s="959"/>
      <c r="DS99" s="959"/>
      <c r="DT99" s="9">
        <v>1</v>
      </c>
      <c r="DU99" s="973">
        <v>0</v>
      </c>
      <c r="DV99" s="9">
        <v>0</v>
      </c>
      <c r="DW99" s="9">
        <v>0</v>
      </c>
      <c r="DX99" s="9">
        <v>0</v>
      </c>
      <c r="DY99" s="9">
        <v>0</v>
      </c>
      <c r="DZ99" s="9">
        <v>0</v>
      </c>
      <c r="EA99" s="9">
        <v>0</v>
      </c>
    </row>
    <row r="100" spans="1:131" ht="26.25" x14ac:dyDescent="0.25">
      <c r="A100" s="9" t="s">
        <v>182</v>
      </c>
      <c r="B100" s="9" t="s">
        <v>321</v>
      </c>
      <c r="C100" s="10" t="s">
        <v>451</v>
      </c>
      <c r="D100" s="959" t="s">
        <v>236</v>
      </c>
      <c r="E100" s="9" t="s">
        <v>160</v>
      </c>
      <c r="F100" s="9">
        <f>2/4</f>
        <v>0.5</v>
      </c>
      <c r="G100" s="9" t="s">
        <v>456</v>
      </c>
      <c r="H100" s="9">
        <f>11/65</f>
        <v>0.16923076923076924</v>
      </c>
      <c r="I100" s="9">
        <v>4</v>
      </c>
      <c r="J100" s="9">
        <v>0</v>
      </c>
      <c r="K100" s="9">
        <v>2</v>
      </c>
      <c r="L100" s="957">
        <f>J100+K100</f>
        <v>2</v>
      </c>
      <c r="M100" s="958">
        <f t="shared" si="0"/>
        <v>1.6434603971688457</v>
      </c>
      <c r="N100" s="959">
        <v>0</v>
      </c>
      <c r="O100" s="959">
        <v>1</v>
      </c>
      <c r="P100" s="959">
        <v>0</v>
      </c>
      <c r="Q100" s="959">
        <v>3</v>
      </c>
      <c r="R100" s="959">
        <v>1</v>
      </c>
      <c r="S100" s="959">
        <v>3</v>
      </c>
      <c r="T100" s="959">
        <v>1</v>
      </c>
      <c r="U100" s="960">
        <f>IF(Q100&gt;0,J100/Q100,0)</f>
        <v>0</v>
      </c>
      <c r="V100" s="960">
        <f>IF(SUM(Q100:S100)&gt;0,J100/SUM(Q100:S100),0)</f>
        <v>0</v>
      </c>
      <c r="W100" s="961">
        <v>73.016666666700004</v>
      </c>
      <c r="X100" s="961">
        <f>W100/I100</f>
        <v>18.254166666675001</v>
      </c>
      <c r="Y100" s="961">
        <v>72.239999999999995</v>
      </c>
      <c r="Z100" s="961">
        <f>Y100/I100</f>
        <v>18.059999999999999</v>
      </c>
      <c r="AA100" s="961">
        <v>143.47999999999999</v>
      </c>
      <c r="AB100" s="961">
        <f>AA100/I100</f>
        <v>35.869999999999997</v>
      </c>
      <c r="AC100" s="962">
        <f t="shared" si="1"/>
        <v>0.33487854626367514</v>
      </c>
      <c r="AD100" s="963">
        <f t="shared" si="2"/>
        <v>10</v>
      </c>
      <c r="AE100">
        <v>8</v>
      </c>
      <c r="AF100" s="959">
        <v>4</v>
      </c>
      <c r="AG100" s="959">
        <v>4</v>
      </c>
      <c r="AH100" s="959">
        <v>1</v>
      </c>
      <c r="AI100" s="959">
        <v>1</v>
      </c>
      <c r="AJ100" s="960">
        <f>IF(N100&gt;0,J100/BU100,0)</f>
        <v>0</v>
      </c>
      <c r="AK100" s="960">
        <f t="shared" si="3"/>
        <v>0.33333333333333331</v>
      </c>
      <c r="AL100" s="960">
        <f t="shared" si="4"/>
        <v>0.33333333333333331</v>
      </c>
      <c r="AM100" s="959">
        <v>19</v>
      </c>
      <c r="AN100" s="962">
        <f t="shared" si="5"/>
        <v>0.32758620689655171</v>
      </c>
      <c r="AO100" s="959">
        <v>21</v>
      </c>
      <c r="AP100" s="962">
        <f t="shared" si="6"/>
        <v>0.36206896551724138</v>
      </c>
      <c r="AQ100" s="959">
        <v>18</v>
      </c>
      <c r="AR100" s="962">
        <f t="shared" si="7"/>
        <v>0.31034482758620691</v>
      </c>
      <c r="AS100" s="962">
        <f t="shared" si="8"/>
        <v>0.47499999999999998</v>
      </c>
      <c r="AT100" s="959">
        <v>4</v>
      </c>
      <c r="AU100" s="964">
        <v>-7.6</v>
      </c>
      <c r="AV100" s="965">
        <v>20</v>
      </c>
      <c r="AW100" s="965">
        <v>24</v>
      </c>
      <c r="AX100" s="965">
        <v>17</v>
      </c>
      <c r="AY100" s="962">
        <f t="shared" si="9"/>
        <v>0.45454545454545453</v>
      </c>
      <c r="AZ100" s="966">
        <v>17.239999999999998</v>
      </c>
      <c r="BA100" s="967">
        <v>6</v>
      </c>
      <c r="BB100" s="965">
        <v>1.73</v>
      </c>
      <c r="BC100" s="959">
        <v>1</v>
      </c>
      <c r="BD100" s="968">
        <v>1.3340000000000001</v>
      </c>
      <c r="BE100" s="961">
        <v>50.46</v>
      </c>
      <c r="BF100" s="966">
        <v>16.649999999999999</v>
      </c>
      <c r="BG100" s="968">
        <v>1.06</v>
      </c>
      <c r="BH100" s="968">
        <v>-3.3069999999999999</v>
      </c>
      <c r="BI100" s="961">
        <v>47.7</v>
      </c>
      <c r="BJ100" s="962">
        <f t="shared" si="10"/>
        <v>0.1</v>
      </c>
      <c r="BK100" s="969">
        <f t="shared" si="11"/>
        <v>0.8936170212765957</v>
      </c>
      <c r="BL100" s="967">
        <f t="shared" si="12"/>
        <v>993.61702127659566</v>
      </c>
      <c r="BM100" s="962">
        <f t="shared" si="13"/>
        <v>-6.3829787234042923E-3</v>
      </c>
      <c r="BN100" s="966">
        <f>BU100/(Z100*I100)*60</f>
        <v>2.4916943521594686</v>
      </c>
      <c r="BO100" s="966">
        <f>BV100/(Z100*I100)*60</f>
        <v>4.1528239202657806</v>
      </c>
      <c r="BP100" s="961">
        <f>(BU100+BW100)/(Z100*I100)*60</f>
        <v>24.916943521594689</v>
      </c>
      <c r="BQ100" s="961">
        <f>(BV100+BX100)/(Z100*I100)*60</f>
        <v>39.036544850498345</v>
      </c>
      <c r="BR100" s="961">
        <f>(BU100+BW100+BY100+CB100)/(Z100*I100)*60</f>
        <v>57.308970099667782</v>
      </c>
      <c r="BS100" s="961">
        <f>(BV100+BX100+BZ100+CA100)/(Z100*I100)*60</f>
        <v>70.598006644518279</v>
      </c>
      <c r="BT100" s="961">
        <f t="shared" si="14"/>
        <v>-13.289036544850497</v>
      </c>
      <c r="BU100" s="959">
        <v>3</v>
      </c>
      <c r="BV100" s="959">
        <v>5</v>
      </c>
      <c r="BW100" s="967">
        <v>27</v>
      </c>
      <c r="BX100" s="967">
        <v>42</v>
      </c>
      <c r="BY100" s="967">
        <v>16</v>
      </c>
      <c r="BZ100" s="967">
        <v>17</v>
      </c>
      <c r="CA100" s="967">
        <v>21</v>
      </c>
      <c r="CB100" s="967">
        <v>23</v>
      </c>
      <c r="CC100" s="959">
        <v>41</v>
      </c>
      <c r="CD100" s="959">
        <v>50</v>
      </c>
      <c r="CE100" s="962">
        <f t="shared" si="15"/>
        <v>0.45054945054945056</v>
      </c>
      <c r="CF100" s="964">
        <v>-0.51</v>
      </c>
      <c r="CG100" s="970">
        <f t="shared" si="16"/>
        <v>-8.1380365448504932</v>
      </c>
      <c r="CH100" s="966">
        <f>CO100/(AB100*I100)*60</f>
        <v>2.5090604962364091</v>
      </c>
      <c r="CI100" s="966">
        <f>CP100/(AB100*I100)*60</f>
        <v>2.0908837468636747</v>
      </c>
      <c r="CJ100" s="966">
        <f>(CO100+CQ100)/(AB100*I100)*60</f>
        <v>25.090604962364093</v>
      </c>
      <c r="CK100" s="966">
        <f>(CP100+CR100)/(AB100*I100)*60</f>
        <v>30.108725954836913</v>
      </c>
      <c r="CL100" s="966">
        <f>(CO100+CQ100+CS100+CV100)/(AB100*I100)*60</f>
        <v>51.435740172846394</v>
      </c>
      <c r="CM100" s="966">
        <f>(CP100+CR100+CT100+CU100)/(AB100*I100)*60</f>
        <v>62.308335656537494</v>
      </c>
      <c r="CN100" s="961">
        <f t="shared" si="17"/>
        <v>-2.4164410611593965</v>
      </c>
      <c r="CO100" s="967">
        <v>6</v>
      </c>
      <c r="CP100" s="967">
        <v>5</v>
      </c>
      <c r="CQ100" s="967">
        <v>54</v>
      </c>
      <c r="CR100" s="967">
        <v>67</v>
      </c>
      <c r="CS100" s="967">
        <v>31</v>
      </c>
      <c r="CT100" s="967">
        <v>28</v>
      </c>
      <c r="CU100" s="967">
        <v>49</v>
      </c>
      <c r="CV100" s="967">
        <v>32</v>
      </c>
      <c r="CW100" s="959">
        <v>1</v>
      </c>
      <c r="CX100" s="959">
        <v>0</v>
      </c>
      <c r="CY100" s="967">
        <f t="shared" si="18"/>
        <v>-1</v>
      </c>
      <c r="CZ100" s="966">
        <f>CW100/(X100*I100)*60</f>
        <v>0.82173019858442287</v>
      </c>
      <c r="DA100" s="966">
        <f>CX100/(X100*I100)*60</f>
        <v>0</v>
      </c>
      <c r="DB100" s="966">
        <f>CY100/(X100*I100)*60</f>
        <v>-0.82173019858442287</v>
      </c>
      <c r="DC100" s="9">
        <v>3</v>
      </c>
      <c r="DD100" s="9">
        <v>4</v>
      </c>
      <c r="DE100" s="971">
        <v>2.64</v>
      </c>
      <c r="DF100" s="971">
        <v>3.14</v>
      </c>
      <c r="DG100" s="971">
        <v>2.9</v>
      </c>
      <c r="DH100" s="971">
        <v>3.72</v>
      </c>
      <c r="DI100" s="959"/>
      <c r="DJ100" s="959"/>
      <c r="DK100" s="962" t="str">
        <f t="shared" si="19"/>
        <v xml:space="preserve"> </v>
      </c>
      <c r="DL100" s="967"/>
      <c r="DM100" s="967"/>
      <c r="DN100" s="959"/>
      <c r="DO100" s="959"/>
      <c r="DP100" s="959"/>
      <c r="DQ100" s="959"/>
      <c r="DR100" s="959"/>
      <c r="DS100" s="959"/>
      <c r="DT100" s="959"/>
      <c r="DU100" s="967"/>
      <c r="DV100" s="959"/>
      <c r="DW100" s="959"/>
      <c r="DX100" s="959"/>
      <c r="DY100" s="959"/>
      <c r="DZ100" s="959"/>
      <c r="EA100" s="9"/>
    </row>
    <row r="101" spans="1:131" ht="26.25" x14ac:dyDescent="0.25">
      <c r="A101" s="9" t="s">
        <v>349</v>
      </c>
      <c r="B101" s="9" t="s">
        <v>305</v>
      </c>
      <c r="C101" s="10" t="s">
        <v>452</v>
      </c>
      <c r="D101" s="959" t="s">
        <v>256</v>
      </c>
      <c r="E101" s="9" t="s">
        <v>160</v>
      </c>
      <c r="F101" s="9">
        <f>2/22</f>
        <v>9.0909090909090912E-2</v>
      </c>
      <c r="G101" s="9" t="s">
        <v>456</v>
      </c>
      <c r="H101" s="9">
        <f>12/49</f>
        <v>0.24489795918367346</v>
      </c>
      <c r="I101" s="9">
        <v>22</v>
      </c>
      <c r="J101" s="9">
        <v>0</v>
      </c>
      <c r="K101" s="9">
        <v>2</v>
      </c>
      <c r="L101" s="957">
        <f>J101+K101</f>
        <v>2</v>
      </c>
      <c r="M101" s="958">
        <f t="shared" si="0"/>
        <v>0.44310419102708565</v>
      </c>
      <c r="N101" s="959">
        <v>0</v>
      </c>
      <c r="O101" s="959">
        <v>1</v>
      </c>
      <c r="P101" s="959">
        <v>1</v>
      </c>
      <c r="Q101" s="959">
        <v>11</v>
      </c>
      <c r="R101" s="959">
        <v>7</v>
      </c>
      <c r="S101" s="959">
        <v>10</v>
      </c>
      <c r="T101" s="959">
        <v>6</v>
      </c>
      <c r="U101" s="960">
        <f>IF(Q101&gt;0,J101/Q101,0)</f>
        <v>0</v>
      </c>
      <c r="V101" s="960">
        <f>IF(SUM(Q101:S101)&gt;0,J101/SUM(Q101:S101),0)</f>
        <v>0</v>
      </c>
      <c r="W101" s="961">
        <v>270.81666666669997</v>
      </c>
      <c r="X101" s="961">
        <f>W101/I101</f>
        <v>12.309848484849999</v>
      </c>
      <c r="Y101" s="961">
        <v>265.62</v>
      </c>
      <c r="Z101" s="961">
        <f>Y101/I101</f>
        <v>12.073636363636364</v>
      </c>
      <c r="AA101" s="961">
        <v>782.08</v>
      </c>
      <c r="AB101" s="961">
        <f>AA101/I101</f>
        <v>35.549090909090914</v>
      </c>
      <c r="AC101" s="962">
        <f t="shared" si="1"/>
        <v>0.25352677293118259</v>
      </c>
      <c r="AD101" s="963">
        <f t="shared" si="2"/>
        <v>9.9</v>
      </c>
      <c r="AE101">
        <v>12</v>
      </c>
      <c r="AF101" s="959">
        <v>38</v>
      </c>
      <c r="AG101" s="959">
        <v>21</v>
      </c>
      <c r="AH101" s="959">
        <v>8</v>
      </c>
      <c r="AI101" s="959">
        <v>2</v>
      </c>
      <c r="AJ101" s="960">
        <f>IF(N101&gt;0,J101/BU101,0)</f>
        <v>0</v>
      </c>
      <c r="AK101" s="960">
        <f t="shared" si="3"/>
        <v>0.2</v>
      </c>
      <c r="AL101" s="960">
        <f t="shared" si="4"/>
        <v>0.2</v>
      </c>
      <c r="AM101" s="959">
        <v>50</v>
      </c>
      <c r="AN101" s="962">
        <f t="shared" si="5"/>
        <v>0.21459227467811159</v>
      </c>
      <c r="AO101" s="959">
        <v>79</v>
      </c>
      <c r="AP101" s="962">
        <f t="shared" si="6"/>
        <v>0.33905579399141633</v>
      </c>
      <c r="AQ101" s="959">
        <v>104</v>
      </c>
      <c r="AR101" s="962">
        <f t="shared" si="7"/>
        <v>0.44635193133047213</v>
      </c>
      <c r="AS101" s="962">
        <f t="shared" si="8"/>
        <v>0.38759689922480622</v>
      </c>
      <c r="AT101" s="959">
        <v>1</v>
      </c>
      <c r="AU101" s="964">
        <v>-10.38</v>
      </c>
      <c r="AV101" s="965">
        <v>85</v>
      </c>
      <c r="AW101" s="965">
        <v>77</v>
      </c>
      <c r="AX101" s="965">
        <v>77</v>
      </c>
      <c r="AY101" s="962">
        <f t="shared" si="9"/>
        <v>0.52469135802469136</v>
      </c>
      <c r="AZ101" s="966">
        <v>17.04</v>
      </c>
      <c r="BA101" s="967">
        <v>6</v>
      </c>
      <c r="BB101" s="965">
        <v>-0.88700000000000001</v>
      </c>
      <c r="BC101" s="959">
        <v>7</v>
      </c>
      <c r="BD101" s="968">
        <v>-2.2050000000000001</v>
      </c>
      <c r="BE101" s="961">
        <v>48.59</v>
      </c>
      <c r="BF101" s="966">
        <v>16.3</v>
      </c>
      <c r="BG101" s="968">
        <v>0.89200000000000002</v>
      </c>
      <c r="BH101" s="968">
        <v>-4.5919999999999996</v>
      </c>
      <c r="BI101" s="961">
        <v>51.03</v>
      </c>
      <c r="BJ101" s="962">
        <f t="shared" si="10"/>
        <v>0.10101010101010101</v>
      </c>
      <c r="BK101" s="969">
        <f t="shared" si="11"/>
        <v>0.95238095238095233</v>
      </c>
      <c r="BL101" s="967">
        <f t="shared" si="12"/>
        <v>1053.3910533910532</v>
      </c>
      <c r="BM101" s="962">
        <f t="shared" si="13"/>
        <v>5.3391053391053336E-2</v>
      </c>
      <c r="BN101" s="966">
        <f>BU101/(Z101*I101)*60</f>
        <v>2.2588660492432799</v>
      </c>
      <c r="BO101" s="966">
        <f>BV101/(Z101*I101)*60</f>
        <v>1.5812062344702957</v>
      </c>
      <c r="BP101" s="961">
        <f>(BU101+BW101)/(Z101*I101)*60</f>
        <v>22.362773887508471</v>
      </c>
      <c r="BQ101" s="961">
        <f>(BV101+BX101)/(Z101*I101)*60</f>
        <v>33.205330923876218</v>
      </c>
      <c r="BR101" s="961">
        <f>(BU101+BW101+BY101+CB101)/(Z101*I101)*60</f>
        <v>41.337248701152021</v>
      </c>
      <c r="BS101" s="961">
        <f>(BV101+BX101+BZ101+CA101)/(Z101*I101)*60</f>
        <v>53.083352157217078</v>
      </c>
      <c r="BT101" s="961">
        <f t="shared" si="14"/>
        <v>-11.746103456065057</v>
      </c>
      <c r="BU101" s="959">
        <v>10</v>
      </c>
      <c r="BV101" s="959">
        <v>7</v>
      </c>
      <c r="BW101" s="967">
        <v>89</v>
      </c>
      <c r="BX101" s="967">
        <v>140</v>
      </c>
      <c r="BY101" s="967">
        <v>33</v>
      </c>
      <c r="BZ101" s="967">
        <v>40</v>
      </c>
      <c r="CA101" s="967">
        <v>48</v>
      </c>
      <c r="CB101" s="967">
        <v>51</v>
      </c>
      <c r="CC101" s="959">
        <v>117</v>
      </c>
      <c r="CD101" s="959">
        <v>109</v>
      </c>
      <c r="CE101" s="962">
        <f t="shared" si="15"/>
        <v>0.51769911504424782</v>
      </c>
      <c r="CF101" s="964">
        <v>0.87</v>
      </c>
      <c r="CG101" s="970">
        <f t="shared" si="16"/>
        <v>-6.751429037460408</v>
      </c>
      <c r="CH101" s="966">
        <f>CO101/(AB101*I101)*60</f>
        <v>1.6110883797054008</v>
      </c>
      <c r="CI101" s="966">
        <f>CP101/(AB101*I101)*60</f>
        <v>2.3782733224222579</v>
      </c>
      <c r="CJ101" s="966">
        <f>(CO101+CQ101)/(AB101*I101)*60</f>
        <v>25.086947626841237</v>
      </c>
      <c r="CK101" s="966">
        <f>(CP101+CR101)/(AB101*I101)*60</f>
        <v>28.002250409165296</v>
      </c>
      <c r="CL101" s="966">
        <f>(CO101+CQ101+CS101+CV101)/(AB101*I101)*60</f>
        <v>48.562806873977081</v>
      </c>
      <c r="CM101" s="966">
        <f>(CP101+CR101+CT101+CU101)/(AB101*I101)*60</f>
        <v>49.253273322422245</v>
      </c>
      <c r="CN101" s="961">
        <f t="shared" si="17"/>
        <v>-11.055637007619893</v>
      </c>
      <c r="CO101" s="967">
        <v>21</v>
      </c>
      <c r="CP101" s="967">
        <v>31</v>
      </c>
      <c r="CQ101" s="967">
        <v>306</v>
      </c>
      <c r="CR101" s="967">
        <v>334</v>
      </c>
      <c r="CS101" s="967">
        <v>129</v>
      </c>
      <c r="CT101" s="967">
        <v>116</v>
      </c>
      <c r="CU101" s="967">
        <v>161</v>
      </c>
      <c r="CV101" s="967">
        <v>177</v>
      </c>
      <c r="CW101" s="959">
        <v>3</v>
      </c>
      <c r="CX101" s="959">
        <v>1</v>
      </c>
      <c r="CY101" s="967">
        <f t="shared" si="18"/>
        <v>-2</v>
      </c>
      <c r="CZ101" s="966">
        <f>CW101/(X101*I101)*60</f>
        <v>0.66465628654062836</v>
      </c>
      <c r="DA101" s="966">
        <f>CX101/(X101*I101)*60</f>
        <v>0.22155209551354282</v>
      </c>
      <c r="DB101" s="966">
        <f>CY101/(X101*I101)*60</f>
        <v>-0.44310419102708565</v>
      </c>
      <c r="DC101" s="9">
        <v>9</v>
      </c>
      <c r="DD101" s="9">
        <v>10</v>
      </c>
      <c r="DE101" s="971">
        <v>7.52</v>
      </c>
      <c r="DF101" s="971">
        <v>8.1</v>
      </c>
      <c r="DG101" s="971">
        <v>8.73</v>
      </c>
      <c r="DH101" s="971">
        <v>9.4</v>
      </c>
      <c r="DI101" s="959"/>
      <c r="DJ101" s="959"/>
      <c r="DK101" s="962" t="str">
        <f t="shared" si="19"/>
        <v xml:space="preserve"> </v>
      </c>
      <c r="DL101" s="967"/>
      <c r="DM101" s="967"/>
      <c r="DN101" s="959"/>
      <c r="DO101" s="959"/>
      <c r="DP101" s="959"/>
      <c r="DQ101" s="959"/>
      <c r="DR101" s="959"/>
      <c r="DS101" s="959"/>
      <c r="DT101" s="959"/>
      <c r="DU101" s="967"/>
      <c r="DV101" s="959"/>
      <c r="DW101" s="959"/>
      <c r="DX101" s="959"/>
      <c r="DY101" s="959"/>
      <c r="DZ101" s="959"/>
      <c r="EA10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 Zarubiak</dc:creator>
  <cp:lastModifiedBy>Cam Zarubiak</cp:lastModifiedBy>
  <dcterms:created xsi:type="dcterms:W3CDTF">2018-03-09T06:28:53Z</dcterms:created>
  <dcterms:modified xsi:type="dcterms:W3CDTF">2018-03-11T00:42:57Z</dcterms:modified>
</cp:coreProperties>
</file>