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\Desktop\hockey_analytic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F101" i="1"/>
  <c r="H100" i="1"/>
  <c r="F100" i="1"/>
  <c r="F99" i="1"/>
  <c r="H99" i="1"/>
  <c r="H98" i="1"/>
  <c r="F98" i="1"/>
  <c r="H97" i="1"/>
  <c r="F97" i="1"/>
  <c r="F96" i="1"/>
  <c r="H96" i="1"/>
  <c r="H95" i="1"/>
  <c r="F95" i="1"/>
  <c r="H94" i="1"/>
  <c r="F94" i="1"/>
  <c r="F93" i="1"/>
  <c r="H93" i="1"/>
  <c r="F92" i="1"/>
  <c r="H92" i="1"/>
  <c r="F91" i="1"/>
  <c r="H91" i="1"/>
  <c r="H90" i="1"/>
  <c r="F90" i="1"/>
  <c r="H89" i="1"/>
  <c r="F89" i="1"/>
  <c r="F88" i="1"/>
  <c r="H88" i="1"/>
  <c r="H87" i="1"/>
  <c r="F87" i="1"/>
  <c r="H86" i="1"/>
  <c r="F86" i="1"/>
  <c r="H85" i="1"/>
  <c r="F85" i="1"/>
  <c r="H84" i="1"/>
  <c r="F84" i="1"/>
  <c r="F83" i="1"/>
  <c r="H83" i="1"/>
  <c r="F82" i="1"/>
  <c r="H82" i="1"/>
  <c r="F81" i="1"/>
  <c r="H81" i="1"/>
  <c r="F80" i="1"/>
  <c r="H80" i="1"/>
  <c r="F79" i="1"/>
  <c r="H79" i="1"/>
  <c r="F78" i="1"/>
  <c r="H78" i="1"/>
  <c r="H77" i="1"/>
  <c r="F77" i="1"/>
  <c r="F76" i="1"/>
  <c r="H76" i="1"/>
  <c r="F75" i="1"/>
  <c r="H75" i="1"/>
  <c r="F74" i="1"/>
  <c r="H74" i="1"/>
  <c r="H73" i="1"/>
  <c r="F73" i="1"/>
  <c r="F72" i="1"/>
  <c r="H72" i="1"/>
  <c r="F71" i="1"/>
  <c r="H71" i="1"/>
  <c r="H70" i="1"/>
  <c r="F70" i="1"/>
  <c r="H69" i="1"/>
  <c r="F69" i="1"/>
  <c r="H68" i="1"/>
  <c r="F68" i="1"/>
  <c r="F67" i="1"/>
  <c r="H67" i="1"/>
  <c r="F66" i="1"/>
  <c r="H66" i="1"/>
  <c r="H65" i="1"/>
  <c r="F65" i="1"/>
  <c r="H64" i="1"/>
  <c r="F64" i="1"/>
  <c r="F63" i="1"/>
  <c r="H63" i="1"/>
  <c r="F62" i="1"/>
  <c r="H62" i="1"/>
  <c r="F61" i="1"/>
  <c r="H61" i="1"/>
  <c r="F59" i="1"/>
  <c r="H59" i="1"/>
  <c r="H60" i="1"/>
  <c r="F60" i="1"/>
  <c r="F58" i="1"/>
  <c r="H58" i="1"/>
  <c r="H57" i="1"/>
  <c r="F57" i="1"/>
  <c r="H56" i="1"/>
  <c r="F56" i="1"/>
  <c r="F55" i="1"/>
  <c r="H55" i="1"/>
  <c r="F54" i="1"/>
  <c r="H54" i="1"/>
  <c r="H53" i="1"/>
  <c r="F53" i="1"/>
  <c r="F52" i="1"/>
  <c r="H52" i="1"/>
  <c r="H51" i="1"/>
  <c r="F51" i="1"/>
  <c r="H50" i="1"/>
  <c r="F50" i="1"/>
  <c r="F49" i="1"/>
  <c r="H49" i="1"/>
  <c r="H48" i="1"/>
  <c r="F48" i="1"/>
  <c r="F47" i="1"/>
  <c r="H47" i="1"/>
  <c r="F46" i="1"/>
  <c r="H46" i="1"/>
  <c r="F45" i="1"/>
  <c r="H45" i="1"/>
  <c r="F44" i="1"/>
  <c r="H44" i="1"/>
  <c r="H43" i="1"/>
  <c r="F43" i="1"/>
  <c r="F42" i="1"/>
  <c r="H42" i="1"/>
  <c r="H41" i="1"/>
  <c r="F41" i="1"/>
  <c r="H40" i="1"/>
  <c r="F40" i="1"/>
  <c r="H39" i="1"/>
  <c r="F39" i="1"/>
  <c r="H38" i="1"/>
  <c r="F38" i="1"/>
  <c r="H37" i="1"/>
  <c r="F37" i="1"/>
  <c r="F36" i="1"/>
  <c r="H36" i="1"/>
  <c r="H35" i="1"/>
  <c r="F35" i="1"/>
  <c r="F34" i="1"/>
  <c r="H34" i="1"/>
  <c r="F33" i="1"/>
  <c r="H33" i="1"/>
  <c r="F32" i="1"/>
  <c r="H32" i="1"/>
  <c r="F31" i="1"/>
  <c r="H31" i="1"/>
  <c r="F30" i="1"/>
  <c r="H30" i="1"/>
  <c r="F29" i="1"/>
  <c r="H29" i="1"/>
  <c r="F28" i="1"/>
  <c r="H28" i="1"/>
  <c r="H27" i="1"/>
  <c r="F27" i="1"/>
  <c r="F26" i="1"/>
  <c r="H26" i="1"/>
  <c r="F25" i="1"/>
  <c r="H25" i="1"/>
  <c r="F24" i="1"/>
  <c r="H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F11" i="1"/>
  <c r="H11" i="1"/>
  <c r="H10" i="1"/>
  <c r="F10" i="1"/>
  <c r="F9" i="1"/>
  <c r="H9" i="1"/>
  <c r="H8" i="1"/>
  <c r="F8" i="1"/>
  <c r="F7" i="1"/>
  <c r="H7" i="1"/>
  <c r="H6" i="1"/>
  <c r="F6" i="1"/>
  <c r="F5" i="1"/>
  <c r="H5" i="1"/>
  <c r="H4" i="1"/>
  <c r="F4" i="1"/>
  <c r="H3" i="1"/>
  <c r="F3" i="1"/>
  <c r="H2" i="1"/>
  <c r="F2" i="1"/>
  <c r="DG101" i="1" l="1"/>
  <c r="CU101" i="1"/>
  <c r="BZ101" i="1"/>
  <c r="BF101" i="1"/>
  <c r="BG101" i="1" s="1"/>
  <c r="BE101" i="1"/>
  <c r="AR101" i="1"/>
  <c r="AQ101" i="1"/>
  <c r="AO101" i="1"/>
  <c r="AM101" i="1"/>
  <c r="AJ101" i="1"/>
  <c r="AI101" i="1"/>
  <c r="AK101" i="1" s="1"/>
  <c r="AC101" i="1"/>
  <c r="AA101" i="1"/>
  <c r="CE101" i="1" s="1"/>
  <c r="Y101" i="1"/>
  <c r="BL101" i="1" s="1"/>
  <c r="W101" i="1"/>
  <c r="CW101" i="1" s="1"/>
  <c r="U101" i="1"/>
  <c r="T101" i="1"/>
  <c r="K101" i="1"/>
  <c r="L101" i="1" s="1"/>
  <c r="DG100" i="1"/>
  <c r="CX100" i="1"/>
  <c r="CU100" i="1"/>
  <c r="CG100" i="1"/>
  <c r="BZ100" i="1"/>
  <c r="BM100" i="1"/>
  <c r="BL100" i="1"/>
  <c r="BF100" i="1"/>
  <c r="BH100" i="1" s="1"/>
  <c r="BE100" i="1"/>
  <c r="AR100" i="1"/>
  <c r="AQ100" i="1"/>
  <c r="AO100" i="1"/>
  <c r="AM100" i="1"/>
  <c r="AJ100" i="1"/>
  <c r="AI100" i="1"/>
  <c r="AC100" i="1"/>
  <c r="AB100" i="1"/>
  <c r="AA100" i="1"/>
  <c r="CD100" i="1" s="1"/>
  <c r="Y100" i="1"/>
  <c r="BK100" i="1" s="1"/>
  <c r="W100" i="1"/>
  <c r="CW100" i="1" s="1"/>
  <c r="U100" i="1"/>
  <c r="T100" i="1"/>
  <c r="K100" i="1"/>
  <c r="L100" i="1" s="1"/>
  <c r="DG99" i="1"/>
  <c r="CU99" i="1"/>
  <c r="BZ99" i="1"/>
  <c r="BF99" i="1"/>
  <c r="BG99" i="1" s="1"/>
  <c r="BE99" i="1"/>
  <c r="BH99" i="1" s="1"/>
  <c r="AR99" i="1"/>
  <c r="AQ99" i="1"/>
  <c r="AO99" i="1"/>
  <c r="AM99" i="1"/>
  <c r="AJ99" i="1"/>
  <c r="AI99" i="1"/>
  <c r="AC99" i="1"/>
  <c r="AA99" i="1"/>
  <c r="CE99" i="1" s="1"/>
  <c r="Y99" i="1"/>
  <c r="BM99" i="1" s="1"/>
  <c r="W99" i="1"/>
  <c r="CW99" i="1" s="1"/>
  <c r="U99" i="1"/>
  <c r="T99" i="1"/>
  <c r="L99" i="1"/>
  <c r="K99" i="1"/>
  <c r="DG98" i="1"/>
  <c r="CU98" i="1"/>
  <c r="BZ98" i="1"/>
  <c r="BN98" i="1"/>
  <c r="BL98" i="1"/>
  <c r="BI98" i="1"/>
  <c r="BF98" i="1"/>
  <c r="BG98" i="1" s="1"/>
  <c r="BE98" i="1"/>
  <c r="AR98" i="1"/>
  <c r="AQ98" i="1"/>
  <c r="AO98" i="1"/>
  <c r="AM98" i="1"/>
  <c r="AJ98" i="1"/>
  <c r="AI98" i="1"/>
  <c r="AC98" i="1"/>
  <c r="AA98" i="1"/>
  <c r="CD98" i="1" s="1"/>
  <c r="Y98" i="1"/>
  <c r="BK98" i="1" s="1"/>
  <c r="W98" i="1"/>
  <c r="CX98" i="1" s="1"/>
  <c r="U98" i="1"/>
  <c r="T98" i="1"/>
  <c r="L98" i="1"/>
  <c r="K98" i="1"/>
  <c r="DG97" i="1"/>
  <c r="CU97" i="1"/>
  <c r="CF97" i="1"/>
  <c r="BZ97" i="1"/>
  <c r="BF97" i="1"/>
  <c r="BE97" i="1"/>
  <c r="AR97" i="1"/>
  <c r="AQ97" i="1"/>
  <c r="AO97" i="1"/>
  <c r="AM97" i="1"/>
  <c r="AJ97" i="1"/>
  <c r="AI97" i="1"/>
  <c r="AB97" i="1"/>
  <c r="AA97" i="1"/>
  <c r="CD97" i="1" s="1"/>
  <c r="Y97" i="1"/>
  <c r="BK97" i="1" s="1"/>
  <c r="W97" i="1"/>
  <c r="CX97" i="1" s="1"/>
  <c r="U97" i="1"/>
  <c r="T97" i="1"/>
  <c r="K97" i="1"/>
  <c r="L97" i="1" s="1"/>
  <c r="DG96" i="1"/>
  <c r="CU96" i="1"/>
  <c r="CG96" i="1"/>
  <c r="CF96" i="1"/>
  <c r="CC96" i="1"/>
  <c r="BZ96" i="1"/>
  <c r="BF96" i="1"/>
  <c r="BG96" i="1" s="1"/>
  <c r="BE96" i="1"/>
  <c r="AR96" i="1"/>
  <c r="AQ96" i="1"/>
  <c r="AO96" i="1"/>
  <c r="AM96" i="1"/>
  <c r="AJ96" i="1"/>
  <c r="AI96" i="1"/>
  <c r="AK96" i="1" s="1"/>
  <c r="AC96" i="1"/>
  <c r="AA96" i="1"/>
  <c r="CD96" i="1" s="1"/>
  <c r="Y96" i="1"/>
  <c r="BM96" i="1" s="1"/>
  <c r="W96" i="1"/>
  <c r="CX96" i="1" s="1"/>
  <c r="U96" i="1"/>
  <c r="T96" i="1"/>
  <c r="K96" i="1"/>
  <c r="L96" i="1" s="1"/>
  <c r="DG95" i="1"/>
  <c r="CU95" i="1"/>
  <c r="CH95" i="1"/>
  <c r="CG95" i="1"/>
  <c r="BZ95" i="1"/>
  <c r="BN95" i="1"/>
  <c r="BO95" i="1" s="1"/>
  <c r="BM95" i="1"/>
  <c r="BL95" i="1"/>
  <c r="BF95" i="1"/>
  <c r="BG95" i="1" s="1"/>
  <c r="BE95" i="1"/>
  <c r="AR95" i="1"/>
  <c r="AQ95" i="1"/>
  <c r="AO95" i="1"/>
  <c r="AM95" i="1"/>
  <c r="AJ95" i="1"/>
  <c r="AI95" i="1"/>
  <c r="AK95" i="1" s="1"/>
  <c r="AC95" i="1"/>
  <c r="AA95" i="1"/>
  <c r="CD95" i="1" s="1"/>
  <c r="Y95" i="1"/>
  <c r="BK95" i="1" s="1"/>
  <c r="W95" i="1"/>
  <c r="CX95" i="1" s="1"/>
  <c r="U95" i="1"/>
  <c r="T95" i="1"/>
  <c r="K95" i="1"/>
  <c r="L95" i="1" s="1"/>
  <c r="DG94" i="1"/>
  <c r="CU94" i="1"/>
  <c r="CH94" i="1"/>
  <c r="CE94" i="1"/>
  <c r="CC94" i="1"/>
  <c r="BZ94" i="1"/>
  <c r="BF94" i="1"/>
  <c r="BG94" i="1" s="1"/>
  <c r="BE94" i="1"/>
  <c r="AR94" i="1"/>
  <c r="AQ94" i="1"/>
  <c r="AO94" i="1"/>
  <c r="AM94" i="1"/>
  <c r="AJ94" i="1"/>
  <c r="AI94" i="1"/>
  <c r="AK94" i="1" s="1"/>
  <c r="AC94" i="1"/>
  <c r="AA94" i="1"/>
  <c r="CF94" i="1" s="1"/>
  <c r="Y94" i="1"/>
  <c r="W94" i="1"/>
  <c r="CW94" i="1" s="1"/>
  <c r="U94" i="1"/>
  <c r="T94" i="1"/>
  <c r="K94" i="1"/>
  <c r="L94" i="1" s="1"/>
  <c r="DG93" i="1"/>
  <c r="CU93" i="1"/>
  <c r="CX93" i="1" s="1"/>
  <c r="CE93" i="1"/>
  <c r="BZ93" i="1"/>
  <c r="BF93" i="1"/>
  <c r="BH93" i="1" s="1"/>
  <c r="BE93" i="1"/>
  <c r="AR93" i="1"/>
  <c r="AQ93" i="1"/>
  <c r="AO93" i="1"/>
  <c r="AM93" i="1"/>
  <c r="AJ93" i="1"/>
  <c r="AI93" i="1"/>
  <c r="AC93" i="1"/>
  <c r="AA93" i="1"/>
  <c r="CD93" i="1" s="1"/>
  <c r="Y93" i="1"/>
  <c r="BK93" i="1" s="1"/>
  <c r="W93" i="1"/>
  <c r="CW93" i="1" s="1"/>
  <c r="U93" i="1"/>
  <c r="T93" i="1"/>
  <c r="K93" i="1"/>
  <c r="L93" i="1" s="1"/>
  <c r="DG92" i="1"/>
  <c r="CU92" i="1"/>
  <c r="CG92" i="1"/>
  <c r="BZ92" i="1"/>
  <c r="BM92" i="1"/>
  <c r="BL92" i="1"/>
  <c r="BI92" i="1"/>
  <c r="BF92" i="1"/>
  <c r="BG92" i="1" s="1"/>
  <c r="BE92" i="1"/>
  <c r="AR92" i="1"/>
  <c r="AQ92" i="1"/>
  <c r="AO92" i="1"/>
  <c r="AM92" i="1"/>
  <c r="AJ92" i="1"/>
  <c r="AI92" i="1"/>
  <c r="AK92" i="1" s="1"/>
  <c r="AC92" i="1"/>
  <c r="AA92" i="1"/>
  <c r="CD92" i="1" s="1"/>
  <c r="Y92" i="1"/>
  <c r="BK92" i="1" s="1"/>
  <c r="W92" i="1"/>
  <c r="U92" i="1"/>
  <c r="T92" i="1"/>
  <c r="K92" i="1"/>
  <c r="L92" i="1" s="1"/>
  <c r="DG91" i="1"/>
  <c r="CU91" i="1"/>
  <c r="BZ91" i="1"/>
  <c r="BF91" i="1"/>
  <c r="BG91" i="1" s="1"/>
  <c r="BE91" i="1"/>
  <c r="AR91" i="1"/>
  <c r="AQ91" i="1"/>
  <c r="AO91" i="1"/>
  <c r="AM91" i="1"/>
  <c r="AJ91" i="1"/>
  <c r="AI91" i="1"/>
  <c r="AC91" i="1"/>
  <c r="AA91" i="1"/>
  <c r="CG91" i="1" s="1"/>
  <c r="Y91" i="1"/>
  <c r="BM91" i="1" s="1"/>
  <c r="W91" i="1"/>
  <c r="CW91" i="1" s="1"/>
  <c r="U91" i="1"/>
  <c r="T91" i="1"/>
  <c r="L91" i="1"/>
  <c r="K91" i="1"/>
  <c r="DG90" i="1"/>
  <c r="CU90" i="1"/>
  <c r="BZ90" i="1"/>
  <c r="BL90" i="1"/>
  <c r="BF90" i="1"/>
  <c r="BE90" i="1"/>
  <c r="BH90" i="1" s="1"/>
  <c r="AR90" i="1"/>
  <c r="AQ90" i="1"/>
  <c r="AO90" i="1"/>
  <c r="AM90" i="1"/>
  <c r="AJ90" i="1"/>
  <c r="AI90" i="1"/>
  <c r="AK90" i="1" s="1"/>
  <c r="AA90" i="1"/>
  <c r="CD90" i="1" s="1"/>
  <c r="Y90" i="1"/>
  <c r="BK90" i="1" s="1"/>
  <c r="W90" i="1"/>
  <c r="U90" i="1"/>
  <c r="T90" i="1"/>
  <c r="L90" i="1"/>
  <c r="K90" i="1"/>
  <c r="DG89" i="1"/>
  <c r="CU89" i="1"/>
  <c r="BZ89" i="1"/>
  <c r="BN89" i="1"/>
  <c r="BM89" i="1"/>
  <c r="BO89" i="1" s="1"/>
  <c r="BF89" i="1"/>
  <c r="BG89" i="1" s="1"/>
  <c r="BE89" i="1"/>
  <c r="AR89" i="1"/>
  <c r="AQ89" i="1"/>
  <c r="AO89" i="1"/>
  <c r="AM89" i="1"/>
  <c r="AJ89" i="1"/>
  <c r="AI89" i="1"/>
  <c r="AK89" i="1" s="1"/>
  <c r="AC89" i="1"/>
  <c r="AA89" i="1"/>
  <c r="CD89" i="1" s="1"/>
  <c r="Y89" i="1"/>
  <c r="BL89" i="1" s="1"/>
  <c r="W89" i="1"/>
  <c r="U89" i="1"/>
  <c r="T89" i="1"/>
  <c r="K89" i="1"/>
  <c r="L89" i="1" s="1"/>
  <c r="DG88" i="1"/>
  <c r="CU88" i="1"/>
  <c r="BZ88" i="1"/>
  <c r="BF88" i="1"/>
  <c r="BE88" i="1"/>
  <c r="BH88" i="1" s="1"/>
  <c r="AR88" i="1"/>
  <c r="AQ88" i="1"/>
  <c r="AO88" i="1"/>
  <c r="AM88" i="1"/>
  <c r="AJ88" i="1"/>
  <c r="AI88" i="1"/>
  <c r="AK88" i="1" s="1"/>
  <c r="AA88" i="1"/>
  <c r="CD88" i="1" s="1"/>
  <c r="Y88" i="1"/>
  <c r="BM88" i="1" s="1"/>
  <c r="W88" i="1"/>
  <c r="CX88" i="1" s="1"/>
  <c r="U88" i="1"/>
  <c r="T88" i="1"/>
  <c r="K88" i="1"/>
  <c r="L88" i="1" s="1"/>
  <c r="DG87" i="1"/>
  <c r="CU87" i="1"/>
  <c r="CH87" i="1"/>
  <c r="CG87" i="1"/>
  <c r="BZ87" i="1"/>
  <c r="BF87" i="1"/>
  <c r="BE87" i="1"/>
  <c r="AC87" i="1" s="1"/>
  <c r="AR87" i="1"/>
  <c r="AQ87" i="1"/>
  <c r="AO87" i="1"/>
  <c r="AM87" i="1"/>
  <c r="AJ87" i="1"/>
  <c r="AI87" i="1"/>
  <c r="AA87" i="1"/>
  <c r="CF87" i="1" s="1"/>
  <c r="Y87" i="1"/>
  <c r="W87" i="1"/>
  <c r="CW87" i="1" s="1"/>
  <c r="U87" i="1"/>
  <c r="T87" i="1"/>
  <c r="K87" i="1"/>
  <c r="L87" i="1" s="1"/>
  <c r="DG86" i="1"/>
  <c r="CU86" i="1"/>
  <c r="CG86" i="1"/>
  <c r="BZ86" i="1"/>
  <c r="BF86" i="1"/>
  <c r="BG86" i="1" s="1"/>
  <c r="BE86" i="1"/>
  <c r="BH86" i="1" s="1"/>
  <c r="AR86" i="1"/>
  <c r="AQ86" i="1"/>
  <c r="AO86" i="1"/>
  <c r="AM86" i="1"/>
  <c r="AJ86" i="1"/>
  <c r="AI86" i="1"/>
  <c r="AC86" i="1"/>
  <c r="AA86" i="1"/>
  <c r="CE86" i="1" s="1"/>
  <c r="Y86" i="1"/>
  <c r="W86" i="1"/>
  <c r="CW86" i="1" s="1"/>
  <c r="U86" i="1"/>
  <c r="T86" i="1"/>
  <c r="L86" i="1"/>
  <c r="K86" i="1"/>
  <c r="DG85" i="1"/>
  <c r="CU85" i="1"/>
  <c r="CH85" i="1"/>
  <c r="BZ85" i="1"/>
  <c r="BF85" i="1"/>
  <c r="BE85" i="1"/>
  <c r="AR85" i="1"/>
  <c r="AQ85" i="1"/>
  <c r="AO85" i="1"/>
  <c r="AM85" i="1"/>
  <c r="AJ85" i="1"/>
  <c r="AI85" i="1"/>
  <c r="AK85" i="1" s="1"/>
  <c r="AA85" i="1"/>
  <c r="Y85" i="1"/>
  <c r="BL85" i="1" s="1"/>
  <c r="W85" i="1"/>
  <c r="CW85" i="1" s="1"/>
  <c r="U85" i="1"/>
  <c r="T85" i="1"/>
  <c r="K85" i="1"/>
  <c r="L85" i="1" s="1"/>
  <c r="DG84" i="1"/>
  <c r="CU84" i="1"/>
  <c r="BZ84" i="1"/>
  <c r="BF84" i="1"/>
  <c r="BE84" i="1"/>
  <c r="AR84" i="1"/>
  <c r="AQ84" i="1"/>
  <c r="AO84" i="1"/>
  <c r="AM84" i="1"/>
  <c r="AJ84" i="1"/>
  <c r="AI84" i="1"/>
  <c r="AK84" i="1" s="1"/>
  <c r="AA84" i="1"/>
  <c r="Y84" i="1"/>
  <c r="BM84" i="1" s="1"/>
  <c r="W84" i="1"/>
  <c r="U84" i="1"/>
  <c r="T84" i="1"/>
  <c r="K84" i="1"/>
  <c r="L84" i="1" s="1"/>
  <c r="DG83" i="1"/>
  <c r="CU83" i="1"/>
  <c r="CX83" i="1" s="1"/>
  <c r="BZ83" i="1"/>
  <c r="BF83" i="1"/>
  <c r="BE83" i="1"/>
  <c r="AR83" i="1"/>
  <c r="AQ83" i="1"/>
  <c r="AO83" i="1"/>
  <c r="AM83" i="1"/>
  <c r="AJ83" i="1"/>
  <c r="AI83" i="1"/>
  <c r="AK83" i="1" s="1"/>
  <c r="AA83" i="1"/>
  <c r="Y83" i="1"/>
  <c r="BL83" i="1" s="1"/>
  <c r="W83" i="1"/>
  <c r="CW83" i="1" s="1"/>
  <c r="U83" i="1"/>
  <c r="T83" i="1"/>
  <c r="K83" i="1"/>
  <c r="L83" i="1" s="1"/>
  <c r="DG82" i="1"/>
  <c r="CW82" i="1"/>
  <c r="CU82" i="1"/>
  <c r="BZ82" i="1"/>
  <c r="BF82" i="1"/>
  <c r="BE82" i="1"/>
  <c r="AR82" i="1"/>
  <c r="AQ82" i="1"/>
  <c r="AO82" i="1"/>
  <c r="AM82" i="1"/>
  <c r="AJ82" i="1"/>
  <c r="AI82" i="1"/>
  <c r="AK82" i="1" s="1"/>
  <c r="AA82" i="1"/>
  <c r="Y82" i="1"/>
  <c r="BL82" i="1" s="1"/>
  <c r="W82" i="1"/>
  <c r="CV82" i="1" s="1"/>
  <c r="U82" i="1"/>
  <c r="T82" i="1"/>
  <c r="K82" i="1"/>
  <c r="L82" i="1" s="1"/>
  <c r="DG81" i="1"/>
  <c r="CU81" i="1"/>
  <c r="BZ81" i="1"/>
  <c r="BL81" i="1"/>
  <c r="BI81" i="1"/>
  <c r="BF81" i="1"/>
  <c r="BE81" i="1"/>
  <c r="AC81" i="1" s="1"/>
  <c r="AR81" i="1"/>
  <c r="AQ81" i="1"/>
  <c r="AO81" i="1"/>
  <c r="AM81" i="1"/>
  <c r="AJ81" i="1"/>
  <c r="AI81" i="1"/>
  <c r="AK81" i="1" s="1"/>
  <c r="AA81" i="1"/>
  <c r="CD81" i="1" s="1"/>
  <c r="Y81" i="1"/>
  <c r="BK81" i="1" s="1"/>
  <c r="W81" i="1"/>
  <c r="U81" i="1"/>
  <c r="T81" i="1"/>
  <c r="L81" i="1"/>
  <c r="K81" i="1"/>
  <c r="DG80" i="1"/>
  <c r="CU80" i="1"/>
  <c r="BZ80" i="1"/>
  <c r="BM80" i="1"/>
  <c r="BL80" i="1"/>
  <c r="BK80" i="1"/>
  <c r="BF80" i="1"/>
  <c r="BE80" i="1"/>
  <c r="BH80" i="1" s="1"/>
  <c r="AR80" i="1"/>
  <c r="AQ80" i="1"/>
  <c r="AO80" i="1"/>
  <c r="AM80" i="1"/>
  <c r="AJ80" i="1"/>
  <c r="AI80" i="1"/>
  <c r="AA80" i="1"/>
  <c r="CF80" i="1" s="1"/>
  <c r="Y80" i="1"/>
  <c r="BJ80" i="1" s="1"/>
  <c r="W80" i="1"/>
  <c r="U80" i="1"/>
  <c r="T80" i="1"/>
  <c r="L80" i="1"/>
  <c r="K80" i="1"/>
  <c r="DG79" i="1"/>
  <c r="CU79" i="1"/>
  <c r="CX79" i="1" s="1"/>
  <c r="BZ79" i="1"/>
  <c r="BM79" i="1"/>
  <c r="BF79" i="1"/>
  <c r="BE79" i="1"/>
  <c r="BH79" i="1" s="1"/>
  <c r="AR79" i="1"/>
  <c r="AQ79" i="1"/>
  <c r="AO79" i="1"/>
  <c r="AM79" i="1"/>
  <c r="AJ79" i="1"/>
  <c r="AI79" i="1"/>
  <c r="AK79" i="1" s="1"/>
  <c r="AA79" i="1"/>
  <c r="CE79" i="1" s="1"/>
  <c r="Y79" i="1"/>
  <c r="BL79" i="1" s="1"/>
  <c r="W79" i="1"/>
  <c r="CW79" i="1" s="1"/>
  <c r="U79" i="1"/>
  <c r="T79" i="1"/>
  <c r="K79" i="1"/>
  <c r="L79" i="1" s="1"/>
  <c r="DG78" i="1"/>
  <c r="CU78" i="1"/>
  <c r="BZ78" i="1"/>
  <c r="BN78" i="1"/>
  <c r="BM78" i="1"/>
  <c r="BF78" i="1"/>
  <c r="BE78" i="1"/>
  <c r="BH78" i="1" s="1"/>
  <c r="AR78" i="1"/>
  <c r="AQ78" i="1"/>
  <c r="AO78" i="1"/>
  <c r="AM78" i="1"/>
  <c r="AJ78" i="1"/>
  <c r="AI78" i="1"/>
  <c r="AA78" i="1"/>
  <c r="CD78" i="1" s="1"/>
  <c r="Y78" i="1"/>
  <c r="BL78" i="1" s="1"/>
  <c r="W78" i="1"/>
  <c r="U78" i="1"/>
  <c r="T78" i="1"/>
  <c r="L78" i="1"/>
  <c r="K78" i="1"/>
  <c r="DG77" i="1"/>
  <c r="CU77" i="1"/>
  <c r="CF77" i="1"/>
  <c r="CE77" i="1"/>
  <c r="CC77" i="1"/>
  <c r="BZ77" i="1"/>
  <c r="BN77" i="1"/>
  <c r="BF77" i="1"/>
  <c r="BG77" i="1" s="1"/>
  <c r="BE77" i="1"/>
  <c r="AR77" i="1"/>
  <c r="AQ77" i="1"/>
  <c r="AO77" i="1"/>
  <c r="AM77" i="1"/>
  <c r="AJ77" i="1"/>
  <c r="AI77" i="1"/>
  <c r="AK77" i="1" s="1"/>
  <c r="AC77" i="1"/>
  <c r="AA77" i="1"/>
  <c r="CD77" i="1" s="1"/>
  <c r="Y77" i="1"/>
  <c r="BM77" i="1" s="1"/>
  <c r="W77" i="1"/>
  <c r="U77" i="1"/>
  <c r="T77" i="1"/>
  <c r="L77" i="1"/>
  <c r="K77" i="1"/>
  <c r="DG76" i="1"/>
  <c r="CU76" i="1"/>
  <c r="CF76" i="1"/>
  <c r="BZ76" i="1"/>
  <c r="BF76" i="1"/>
  <c r="BE76" i="1"/>
  <c r="AR76" i="1"/>
  <c r="AQ76" i="1"/>
  <c r="AO76" i="1"/>
  <c r="AM76" i="1"/>
  <c r="AJ76" i="1"/>
  <c r="AI76" i="1"/>
  <c r="AK76" i="1" s="1"/>
  <c r="AB76" i="1"/>
  <c r="AA76" i="1"/>
  <c r="CD76" i="1" s="1"/>
  <c r="Y76" i="1"/>
  <c r="BK76" i="1" s="1"/>
  <c r="W76" i="1"/>
  <c r="CX76" i="1" s="1"/>
  <c r="U76" i="1"/>
  <c r="T76" i="1"/>
  <c r="K76" i="1"/>
  <c r="L76" i="1" s="1"/>
  <c r="DG75" i="1"/>
  <c r="CU75" i="1"/>
  <c r="BZ75" i="1"/>
  <c r="BL75" i="1"/>
  <c r="BI75" i="1"/>
  <c r="BF75" i="1"/>
  <c r="BH75" i="1" s="1"/>
  <c r="BE75" i="1"/>
  <c r="AR75" i="1"/>
  <c r="AQ75" i="1"/>
  <c r="AO75" i="1"/>
  <c r="AM75" i="1"/>
  <c r="AJ75" i="1"/>
  <c r="AI75" i="1"/>
  <c r="AK75" i="1" s="1"/>
  <c r="AC75" i="1"/>
  <c r="AA75" i="1"/>
  <c r="CF75" i="1" s="1"/>
  <c r="Y75" i="1"/>
  <c r="BK75" i="1" s="1"/>
  <c r="W75" i="1"/>
  <c r="U75" i="1"/>
  <c r="T75" i="1"/>
  <c r="L75" i="1"/>
  <c r="K75" i="1"/>
  <c r="DG74" i="1"/>
  <c r="CU74" i="1"/>
  <c r="CX74" i="1" s="1"/>
  <c r="BZ74" i="1"/>
  <c r="BN74" i="1"/>
  <c r="BM74" i="1"/>
  <c r="BF74" i="1"/>
  <c r="BG74" i="1" s="1"/>
  <c r="BE74" i="1"/>
  <c r="AR74" i="1"/>
  <c r="AQ74" i="1"/>
  <c r="AO74" i="1"/>
  <c r="AM74" i="1"/>
  <c r="AJ74" i="1"/>
  <c r="AI74" i="1"/>
  <c r="AC74" i="1"/>
  <c r="AA74" i="1"/>
  <c r="CD74" i="1" s="1"/>
  <c r="Y74" i="1"/>
  <c r="BL74" i="1" s="1"/>
  <c r="W74" i="1"/>
  <c r="CW74" i="1" s="1"/>
  <c r="U74" i="1"/>
  <c r="T74" i="1"/>
  <c r="L74" i="1"/>
  <c r="K74" i="1"/>
  <c r="DG73" i="1"/>
  <c r="CU73" i="1"/>
  <c r="CC73" i="1"/>
  <c r="BZ73" i="1"/>
  <c r="BF73" i="1"/>
  <c r="BE73" i="1"/>
  <c r="BH73" i="1" s="1"/>
  <c r="AR73" i="1"/>
  <c r="AQ73" i="1"/>
  <c r="AO73" i="1"/>
  <c r="AM73" i="1"/>
  <c r="AJ73" i="1"/>
  <c r="AI73" i="1"/>
  <c r="AA73" i="1"/>
  <c r="CD73" i="1" s="1"/>
  <c r="Y73" i="1"/>
  <c r="W73" i="1"/>
  <c r="CW73" i="1" s="1"/>
  <c r="U73" i="1"/>
  <c r="T73" i="1"/>
  <c r="L73" i="1"/>
  <c r="K73" i="1"/>
  <c r="DG72" i="1"/>
  <c r="CU72" i="1"/>
  <c r="CG72" i="1"/>
  <c r="CC72" i="1"/>
  <c r="BZ72" i="1"/>
  <c r="BF72" i="1"/>
  <c r="BG72" i="1" s="1"/>
  <c r="BE72" i="1"/>
  <c r="AR72" i="1"/>
  <c r="AQ72" i="1"/>
  <c r="AO72" i="1"/>
  <c r="AM72" i="1"/>
  <c r="AJ72" i="1"/>
  <c r="AI72" i="1"/>
  <c r="AK72" i="1" s="1"/>
  <c r="AC72" i="1"/>
  <c r="AA72" i="1"/>
  <c r="CD72" i="1" s="1"/>
  <c r="Y72" i="1"/>
  <c r="BK72" i="1" s="1"/>
  <c r="W72" i="1"/>
  <c r="CX72" i="1" s="1"/>
  <c r="U72" i="1"/>
  <c r="T72" i="1"/>
  <c r="K72" i="1"/>
  <c r="L72" i="1" s="1"/>
  <c r="DG71" i="1"/>
  <c r="CU71" i="1"/>
  <c r="CG71" i="1"/>
  <c r="BZ71" i="1"/>
  <c r="BF71" i="1"/>
  <c r="BH71" i="1" s="1"/>
  <c r="BE71" i="1"/>
  <c r="AR71" i="1"/>
  <c r="AQ71" i="1"/>
  <c r="AO71" i="1"/>
  <c r="AM71" i="1"/>
  <c r="AJ71" i="1"/>
  <c r="AI71" i="1"/>
  <c r="AK71" i="1" s="1"/>
  <c r="AC71" i="1"/>
  <c r="AA71" i="1"/>
  <c r="CE71" i="1" s="1"/>
  <c r="Y71" i="1"/>
  <c r="BL71" i="1" s="1"/>
  <c r="W71" i="1"/>
  <c r="CW71" i="1" s="1"/>
  <c r="U71" i="1"/>
  <c r="T71" i="1"/>
  <c r="K71" i="1"/>
  <c r="L71" i="1" s="1"/>
  <c r="DG70" i="1"/>
  <c r="CU70" i="1"/>
  <c r="CX70" i="1" s="1"/>
  <c r="CG70" i="1"/>
  <c r="CF70" i="1"/>
  <c r="BZ70" i="1"/>
  <c r="BN70" i="1"/>
  <c r="BM70" i="1"/>
  <c r="BO70" i="1" s="1"/>
  <c r="BL70" i="1"/>
  <c r="BF70" i="1"/>
  <c r="BE70" i="1"/>
  <c r="BH70" i="1" s="1"/>
  <c r="AR70" i="1"/>
  <c r="AQ70" i="1"/>
  <c r="AO70" i="1"/>
  <c r="AM70" i="1"/>
  <c r="AJ70" i="1"/>
  <c r="AI70" i="1"/>
  <c r="AB70" i="1"/>
  <c r="AA70" i="1"/>
  <c r="CD70" i="1" s="1"/>
  <c r="Y70" i="1"/>
  <c r="BK70" i="1" s="1"/>
  <c r="W70" i="1"/>
  <c r="CW70" i="1" s="1"/>
  <c r="U70" i="1"/>
  <c r="T70" i="1"/>
  <c r="L70" i="1"/>
  <c r="K70" i="1"/>
  <c r="DG69" i="1"/>
  <c r="CU69" i="1"/>
  <c r="CH69" i="1"/>
  <c r="CG69" i="1"/>
  <c r="BZ69" i="1"/>
  <c r="BN69" i="1"/>
  <c r="BO69" i="1" s="1"/>
  <c r="BM69" i="1"/>
  <c r="BK69" i="1"/>
  <c r="BF69" i="1"/>
  <c r="BG69" i="1" s="1"/>
  <c r="BE69" i="1"/>
  <c r="AR69" i="1"/>
  <c r="AQ69" i="1"/>
  <c r="AO69" i="1"/>
  <c r="AM69" i="1"/>
  <c r="AJ69" i="1"/>
  <c r="AI69" i="1"/>
  <c r="AK69" i="1" s="1"/>
  <c r="AC69" i="1"/>
  <c r="AA69" i="1"/>
  <c r="CF69" i="1" s="1"/>
  <c r="Y69" i="1"/>
  <c r="BL69" i="1" s="1"/>
  <c r="W69" i="1"/>
  <c r="CV69" i="1" s="1"/>
  <c r="U69" i="1"/>
  <c r="T69" i="1"/>
  <c r="K69" i="1"/>
  <c r="L69" i="1" s="1"/>
  <c r="DG68" i="1"/>
  <c r="CU68" i="1"/>
  <c r="BZ68" i="1"/>
  <c r="BN68" i="1"/>
  <c r="BF68" i="1"/>
  <c r="BE68" i="1"/>
  <c r="AC68" i="1" s="1"/>
  <c r="AR68" i="1"/>
  <c r="AQ68" i="1"/>
  <c r="AO68" i="1"/>
  <c r="AM68" i="1"/>
  <c r="AJ68" i="1"/>
  <c r="AI68" i="1"/>
  <c r="AA68" i="1"/>
  <c r="CF68" i="1" s="1"/>
  <c r="Y68" i="1"/>
  <c r="BM68" i="1" s="1"/>
  <c r="W68" i="1"/>
  <c r="CW68" i="1" s="1"/>
  <c r="U68" i="1"/>
  <c r="T68" i="1"/>
  <c r="L68" i="1"/>
  <c r="K68" i="1"/>
  <c r="DG67" i="1"/>
  <c r="CU67" i="1"/>
  <c r="CX67" i="1" s="1"/>
  <c r="CG67" i="1"/>
  <c r="BZ67" i="1"/>
  <c r="BN67" i="1"/>
  <c r="BM67" i="1"/>
  <c r="BO67" i="1" s="1"/>
  <c r="BI67" i="1"/>
  <c r="BF67" i="1"/>
  <c r="BG67" i="1" s="1"/>
  <c r="BE67" i="1"/>
  <c r="AR67" i="1"/>
  <c r="AQ67" i="1"/>
  <c r="AO67" i="1"/>
  <c r="AM67" i="1"/>
  <c r="AJ67" i="1"/>
  <c r="AI67" i="1"/>
  <c r="AK67" i="1" s="1"/>
  <c r="AC67" i="1"/>
  <c r="AA67" i="1"/>
  <c r="CE67" i="1" s="1"/>
  <c r="Y67" i="1"/>
  <c r="BL67" i="1" s="1"/>
  <c r="W67" i="1"/>
  <c r="CW67" i="1" s="1"/>
  <c r="U67" i="1"/>
  <c r="T67" i="1"/>
  <c r="K67" i="1"/>
  <c r="L67" i="1" s="1"/>
  <c r="DG66" i="1"/>
  <c r="CU66" i="1"/>
  <c r="CG66" i="1"/>
  <c r="CF66" i="1"/>
  <c r="CE66" i="1"/>
  <c r="CC66" i="1"/>
  <c r="BZ66" i="1"/>
  <c r="BN66" i="1"/>
  <c r="BF66" i="1"/>
  <c r="BG66" i="1" s="1"/>
  <c r="BE66" i="1"/>
  <c r="AR66" i="1"/>
  <c r="AQ66" i="1"/>
  <c r="AO66" i="1"/>
  <c r="AM66" i="1"/>
  <c r="AJ66" i="1"/>
  <c r="AI66" i="1"/>
  <c r="AK66" i="1" s="1"/>
  <c r="AC66" i="1"/>
  <c r="AA66" i="1"/>
  <c r="CD66" i="1" s="1"/>
  <c r="Y66" i="1"/>
  <c r="BM66" i="1" s="1"/>
  <c r="W66" i="1"/>
  <c r="CX66" i="1" s="1"/>
  <c r="U66" i="1"/>
  <c r="T66" i="1"/>
  <c r="K66" i="1"/>
  <c r="L66" i="1" s="1"/>
  <c r="DG65" i="1"/>
  <c r="CU65" i="1"/>
  <c r="CX65" i="1" s="1"/>
  <c r="CG65" i="1"/>
  <c r="CF65" i="1"/>
  <c r="CE65" i="1"/>
  <c r="CC65" i="1"/>
  <c r="BZ65" i="1"/>
  <c r="BF65" i="1"/>
  <c r="BG65" i="1" s="1"/>
  <c r="BE65" i="1"/>
  <c r="BH65" i="1" s="1"/>
  <c r="AR65" i="1"/>
  <c r="AQ65" i="1"/>
  <c r="AO65" i="1"/>
  <c r="AM65" i="1"/>
  <c r="AJ65" i="1"/>
  <c r="AI65" i="1"/>
  <c r="AC65" i="1"/>
  <c r="AA65" i="1"/>
  <c r="CD65" i="1" s="1"/>
  <c r="Y65" i="1"/>
  <c r="W65" i="1"/>
  <c r="CW65" i="1" s="1"/>
  <c r="U65" i="1"/>
  <c r="T65" i="1"/>
  <c r="L65" i="1"/>
  <c r="K65" i="1"/>
  <c r="DG64" i="1"/>
  <c r="CV64" i="1"/>
  <c r="CU64" i="1"/>
  <c r="CX64" i="1" s="1"/>
  <c r="CF64" i="1"/>
  <c r="BZ64" i="1"/>
  <c r="BF64" i="1"/>
  <c r="BG64" i="1" s="1"/>
  <c r="BE64" i="1"/>
  <c r="AR64" i="1"/>
  <c r="AQ64" i="1"/>
  <c r="AO64" i="1"/>
  <c r="AM64" i="1"/>
  <c r="AJ64" i="1"/>
  <c r="AI64" i="1"/>
  <c r="AC64" i="1"/>
  <c r="AA64" i="1"/>
  <c r="CD64" i="1" s="1"/>
  <c r="Y64" i="1"/>
  <c r="BM64" i="1" s="1"/>
  <c r="W64" i="1"/>
  <c r="CW64" i="1" s="1"/>
  <c r="U64" i="1"/>
  <c r="T64" i="1"/>
  <c r="K64" i="1"/>
  <c r="L64" i="1" s="1"/>
  <c r="DG63" i="1"/>
  <c r="CU63" i="1"/>
  <c r="CG63" i="1"/>
  <c r="BZ63" i="1"/>
  <c r="BN63" i="1"/>
  <c r="BF63" i="1"/>
  <c r="BE63" i="1"/>
  <c r="AC63" i="1" s="1"/>
  <c r="AR63" i="1"/>
  <c r="AQ63" i="1"/>
  <c r="AO63" i="1"/>
  <c r="AM63" i="1"/>
  <c r="AJ63" i="1"/>
  <c r="AI63" i="1"/>
  <c r="AA63" i="1"/>
  <c r="CF63" i="1" s="1"/>
  <c r="Y63" i="1"/>
  <c r="BM63" i="1" s="1"/>
  <c r="W63" i="1"/>
  <c r="CW63" i="1" s="1"/>
  <c r="U63" i="1"/>
  <c r="T63" i="1"/>
  <c r="L63" i="1"/>
  <c r="K63" i="1"/>
  <c r="DG62" i="1"/>
  <c r="CU62" i="1"/>
  <c r="CF62" i="1"/>
  <c r="CE62" i="1"/>
  <c r="CC62" i="1"/>
  <c r="BZ62" i="1"/>
  <c r="BN62" i="1"/>
  <c r="BF62" i="1"/>
  <c r="BE62" i="1"/>
  <c r="BH62" i="1" s="1"/>
  <c r="AR62" i="1"/>
  <c r="AQ62" i="1"/>
  <c r="AO62" i="1"/>
  <c r="AM62" i="1"/>
  <c r="AJ62" i="1"/>
  <c r="AI62" i="1"/>
  <c r="AA62" i="1"/>
  <c r="CD62" i="1" s="1"/>
  <c r="Y62" i="1"/>
  <c r="BM62" i="1" s="1"/>
  <c r="W62" i="1"/>
  <c r="CX62" i="1" s="1"/>
  <c r="U62" i="1"/>
  <c r="T62" i="1"/>
  <c r="L62" i="1"/>
  <c r="K62" i="1"/>
  <c r="DG61" i="1"/>
  <c r="CU61" i="1"/>
  <c r="BZ61" i="1"/>
  <c r="BF61" i="1"/>
  <c r="BE61" i="1"/>
  <c r="AC61" i="1" s="1"/>
  <c r="AR61" i="1"/>
  <c r="AQ61" i="1"/>
  <c r="AO61" i="1"/>
  <c r="AM61" i="1"/>
  <c r="AJ61" i="1"/>
  <c r="AI61" i="1"/>
  <c r="AK61" i="1" s="1"/>
  <c r="AA61" i="1"/>
  <c r="Y61" i="1"/>
  <c r="BL61" i="1" s="1"/>
  <c r="W61" i="1"/>
  <c r="CX61" i="1" s="1"/>
  <c r="U61" i="1"/>
  <c r="T61" i="1"/>
  <c r="K61" i="1"/>
  <c r="L61" i="1" s="1"/>
  <c r="DG60" i="1"/>
  <c r="CU60" i="1"/>
  <c r="BZ60" i="1"/>
  <c r="BI60" i="1"/>
  <c r="BF60" i="1"/>
  <c r="BH60" i="1" s="1"/>
  <c r="BE60" i="1"/>
  <c r="AR60" i="1"/>
  <c r="AQ60" i="1"/>
  <c r="AO60" i="1"/>
  <c r="AM60" i="1"/>
  <c r="AJ60" i="1"/>
  <c r="AI60" i="1"/>
  <c r="AK60" i="1" s="1"/>
  <c r="AC60" i="1"/>
  <c r="AA60" i="1"/>
  <c r="CD60" i="1" s="1"/>
  <c r="Y60" i="1"/>
  <c r="BK60" i="1" s="1"/>
  <c r="W60" i="1"/>
  <c r="U60" i="1"/>
  <c r="T60" i="1"/>
  <c r="L60" i="1"/>
  <c r="K60" i="1"/>
  <c r="DG59" i="1"/>
  <c r="CW59" i="1"/>
  <c r="CV59" i="1"/>
  <c r="CU59" i="1"/>
  <c r="CC59" i="1"/>
  <c r="BZ59" i="1"/>
  <c r="BN59" i="1"/>
  <c r="BF59" i="1"/>
  <c r="BH59" i="1" s="1"/>
  <c r="BE59" i="1"/>
  <c r="AR59" i="1"/>
  <c r="AQ59" i="1"/>
  <c r="AO59" i="1"/>
  <c r="AM59" i="1"/>
  <c r="AJ59" i="1"/>
  <c r="AI59" i="1"/>
  <c r="AC59" i="1"/>
  <c r="AA59" i="1"/>
  <c r="CF59" i="1" s="1"/>
  <c r="Y59" i="1"/>
  <c r="BM59" i="1" s="1"/>
  <c r="W59" i="1"/>
  <c r="U59" i="1"/>
  <c r="T59" i="1"/>
  <c r="L59" i="1"/>
  <c r="K59" i="1"/>
  <c r="DG58" i="1"/>
  <c r="CU58" i="1"/>
  <c r="CX58" i="1" s="1"/>
  <c r="CC58" i="1"/>
  <c r="BZ58" i="1"/>
  <c r="BN58" i="1"/>
  <c r="BF58" i="1"/>
  <c r="BG58" i="1" s="1"/>
  <c r="BE58" i="1"/>
  <c r="AR58" i="1"/>
  <c r="AQ58" i="1"/>
  <c r="AO58" i="1"/>
  <c r="AM58" i="1"/>
  <c r="AJ58" i="1"/>
  <c r="AI58" i="1"/>
  <c r="AC58" i="1"/>
  <c r="AA58" i="1"/>
  <c r="CE58" i="1" s="1"/>
  <c r="Y58" i="1"/>
  <c r="BM58" i="1" s="1"/>
  <c r="W58" i="1"/>
  <c r="CW58" i="1" s="1"/>
  <c r="U58" i="1"/>
  <c r="T58" i="1"/>
  <c r="L58" i="1"/>
  <c r="K58" i="1"/>
  <c r="DG57" i="1"/>
  <c r="CU57" i="1"/>
  <c r="CF57" i="1"/>
  <c r="CE57" i="1"/>
  <c r="CC57" i="1"/>
  <c r="BZ57" i="1"/>
  <c r="BN57" i="1"/>
  <c r="BF57" i="1"/>
  <c r="BE57" i="1"/>
  <c r="BH57" i="1" s="1"/>
  <c r="AR57" i="1"/>
  <c r="AQ57" i="1"/>
  <c r="AO57" i="1"/>
  <c r="AM57" i="1"/>
  <c r="AJ57" i="1"/>
  <c r="AI57" i="1"/>
  <c r="AA57" i="1"/>
  <c r="CD57" i="1" s="1"/>
  <c r="Y57" i="1"/>
  <c r="BM57" i="1" s="1"/>
  <c r="W57" i="1"/>
  <c r="U57" i="1"/>
  <c r="T57" i="1"/>
  <c r="L57" i="1"/>
  <c r="K57" i="1"/>
  <c r="DG56" i="1"/>
  <c r="CU56" i="1"/>
  <c r="BZ56" i="1"/>
  <c r="BN56" i="1"/>
  <c r="BM56" i="1"/>
  <c r="BL56" i="1"/>
  <c r="BK56" i="1"/>
  <c r="BF56" i="1"/>
  <c r="BE56" i="1"/>
  <c r="BH56" i="1" s="1"/>
  <c r="AR56" i="1"/>
  <c r="AQ56" i="1"/>
  <c r="AO56" i="1"/>
  <c r="AM56" i="1"/>
  <c r="AJ56" i="1"/>
  <c r="AI56" i="1"/>
  <c r="AA56" i="1"/>
  <c r="CF56" i="1" s="1"/>
  <c r="Y56" i="1"/>
  <c r="BJ56" i="1" s="1"/>
  <c r="W56" i="1"/>
  <c r="CX56" i="1" s="1"/>
  <c r="U56" i="1"/>
  <c r="T56" i="1"/>
  <c r="L56" i="1"/>
  <c r="K56" i="1"/>
  <c r="DG55" i="1"/>
  <c r="CU55" i="1"/>
  <c r="CX55" i="1" s="1"/>
  <c r="CG55" i="1"/>
  <c r="CF55" i="1"/>
  <c r="BZ55" i="1"/>
  <c r="BF55" i="1"/>
  <c r="BG55" i="1" s="1"/>
  <c r="BE55" i="1"/>
  <c r="AR55" i="1"/>
  <c r="AQ55" i="1"/>
  <c r="AO55" i="1"/>
  <c r="AM55" i="1"/>
  <c r="AJ55" i="1"/>
  <c r="AI55" i="1"/>
  <c r="AK55" i="1" s="1"/>
  <c r="AC55" i="1"/>
  <c r="AA55" i="1"/>
  <c r="CD55" i="1" s="1"/>
  <c r="Y55" i="1"/>
  <c r="BK55" i="1" s="1"/>
  <c r="W55" i="1"/>
  <c r="CW55" i="1" s="1"/>
  <c r="U55" i="1"/>
  <c r="T55" i="1"/>
  <c r="K55" i="1"/>
  <c r="L55" i="1" s="1"/>
  <c r="DG54" i="1"/>
  <c r="CU54" i="1"/>
  <c r="CH54" i="1"/>
  <c r="BZ54" i="1"/>
  <c r="BF54" i="1"/>
  <c r="BH54" i="1" s="1"/>
  <c r="BE54" i="1"/>
  <c r="AR54" i="1"/>
  <c r="AQ54" i="1"/>
  <c r="AO54" i="1"/>
  <c r="AM54" i="1"/>
  <c r="AJ54" i="1"/>
  <c r="AI54" i="1"/>
  <c r="AK54" i="1" s="1"/>
  <c r="AC54" i="1"/>
  <c r="AA54" i="1"/>
  <c r="CF54" i="1" s="1"/>
  <c r="Y54" i="1"/>
  <c r="BM54" i="1" s="1"/>
  <c r="W54" i="1"/>
  <c r="CW54" i="1" s="1"/>
  <c r="U54" i="1"/>
  <c r="T54" i="1"/>
  <c r="K54" i="1"/>
  <c r="L54" i="1" s="1"/>
  <c r="DG53" i="1"/>
  <c r="CU53" i="1"/>
  <c r="CF53" i="1"/>
  <c r="BZ53" i="1"/>
  <c r="BF53" i="1"/>
  <c r="BG53" i="1" s="1"/>
  <c r="BE53" i="1"/>
  <c r="AR53" i="1"/>
  <c r="AQ53" i="1"/>
  <c r="AO53" i="1"/>
  <c r="AM53" i="1"/>
  <c r="AJ53" i="1"/>
  <c r="AI53" i="1"/>
  <c r="AK53" i="1" s="1"/>
  <c r="AC53" i="1"/>
  <c r="AA53" i="1"/>
  <c r="CD53" i="1" s="1"/>
  <c r="Y53" i="1"/>
  <c r="BM53" i="1" s="1"/>
  <c r="W53" i="1"/>
  <c r="CW53" i="1" s="1"/>
  <c r="U53" i="1"/>
  <c r="T53" i="1"/>
  <c r="K53" i="1"/>
  <c r="L53" i="1" s="1"/>
  <c r="DG52" i="1"/>
  <c r="CU52" i="1"/>
  <c r="CX52" i="1" s="1"/>
  <c r="CF52" i="1"/>
  <c r="BZ52" i="1"/>
  <c r="BL52" i="1"/>
  <c r="BI52" i="1"/>
  <c r="BF52" i="1"/>
  <c r="BE52" i="1"/>
  <c r="AR52" i="1"/>
  <c r="AQ52" i="1"/>
  <c r="AO52" i="1"/>
  <c r="AM52" i="1"/>
  <c r="AJ52" i="1"/>
  <c r="AI52" i="1"/>
  <c r="AB52" i="1"/>
  <c r="AA52" i="1"/>
  <c r="CD52" i="1" s="1"/>
  <c r="Y52" i="1"/>
  <c r="BM52" i="1" s="1"/>
  <c r="W52" i="1"/>
  <c r="CW52" i="1" s="1"/>
  <c r="U52" i="1"/>
  <c r="T52" i="1"/>
  <c r="L52" i="1"/>
  <c r="K52" i="1"/>
  <c r="DG51" i="1"/>
  <c r="CU51" i="1"/>
  <c r="CC51" i="1"/>
  <c r="BZ51" i="1"/>
  <c r="BL51" i="1"/>
  <c r="BF51" i="1"/>
  <c r="BG51" i="1" s="1"/>
  <c r="BE51" i="1"/>
  <c r="BH51" i="1" s="1"/>
  <c r="AR51" i="1"/>
  <c r="AQ51" i="1"/>
  <c r="AO51" i="1"/>
  <c r="AM51" i="1"/>
  <c r="AJ51" i="1"/>
  <c r="AI51" i="1"/>
  <c r="AC51" i="1"/>
  <c r="AA51" i="1"/>
  <c r="CD51" i="1" s="1"/>
  <c r="Y51" i="1"/>
  <c r="W51" i="1"/>
  <c r="CW51" i="1" s="1"/>
  <c r="U51" i="1"/>
  <c r="T51" i="1"/>
  <c r="L51" i="1"/>
  <c r="K51" i="1"/>
  <c r="DG50" i="1"/>
  <c r="CV50" i="1"/>
  <c r="CU50" i="1"/>
  <c r="CX50" i="1" s="1"/>
  <c r="BZ50" i="1"/>
  <c r="BL50" i="1"/>
  <c r="BF50" i="1"/>
  <c r="BH50" i="1" s="1"/>
  <c r="BE50" i="1"/>
  <c r="AR50" i="1"/>
  <c r="AQ50" i="1"/>
  <c r="AO50" i="1"/>
  <c r="AM50" i="1"/>
  <c r="AJ50" i="1"/>
  <c r="AI50" i="1"/>
  <c r="AK50" i="1" s="1"/>
  <c r="AC50" i="1"/>
  <c r="AA50" i="1"/>
  <c r="CG50" i="1" s="1"/>
  <c r="Y50" i="1"/>
  <c r="BM50" i="1" s="1"/>
  <c r="W50" i="1"/>
  <c r="CW50" i="1" s="1"/>
  <c r="U50" i="1"/>
  <c r="T50" i="1"/>
  <c r="L50" i="1"/>
  <c r="K50" i="1"/>
  <c r="DG49" i="1"/>
  <c r="CV49" i="1"/>
  <c r="CU49" i="1"/>
  <c r="CX49" i="1" s="1"/>
  <c r="BZ49" i="1"/>
  <c r="BN49" i="1"/>
  <c r="BF49" i="1"/>
  <c r="BG49" i="1" s="1"/>
  <c r="BE49" i="1"/>
  <c r="BH49" i="1" s="1"/>
  <c r="AR49" i="1"/>
  <c r="AQ49" i="1"/>
  <c r="AO49" i="1"/>
  <c r="AM49" i="1"/>
  <c r="AJ49" i="1"/>
  <c r="AI49" i="1"/>
  <c r="AK49" i="1" s="1"/>
  <c r="AC49" i="1"/>
  <c r="AA49" i="1"/>
  <c r="CF49" i="1" s="1"/>
  <c r="Y49" i="1"/>
  <c r="BM49" i="1" s="1"/>
  <c r="W49" i="1"/>
  <c r="CW49" i="1" s="1"/>
  <c r="U49" i="1"/>
  <c r="T49" i="1"/>
  <c r="K49" i="1"/>
  <c r="L49" i="1" s="1"/>
  <c r="DG48" i="1"/>
  <c r="CU48" i="1"/>
  <c r="CE48" i="1"/>
  <c r="BZ48" i="1"/>
  <c r="BM48" i="1"/>
  <c r="BF48" i="1"/>
  <c r="BG48" i="1" s="1"/>
  <c r="BE48" i="1"/>
  <c r="BH48" i="1" s="1"/>
  <c r="AR48" i="1"/>
  <c r="AQ48" i="1"/>
  <c r="AO48" i="1"/>
  <c r="AM48" i="1"/>
  <c r="AJ48" i="1"/>
  <c r="AI48" i="1"/>
  <c r="AC48" i="1"/>
  <c r="AA48" i="1"/>
  <c r="Y48" i="1"/>
  <c r="BK48" i="1" s="1"/>
  <c r="W48" i="1"/>
  <c r="CX48" i="1" s="1"/>
  <c r="U48" i="1"/>
  <c r="T48" i="1"/>
  <c r="K48" i="1"/>
  <c r="L48" i="1" s="1"/>
  <c r="DG47" i="1"/>
  <c r="CU47" i="1"/>
  <c r="CG47" i="1"/>
  <c r="CE47" i="1"/>
  <c r="BZ47" i="1"/>
  <c r="BF47" i="1"/>
  <c r="BE47" i="1"/>
  <c r="AR47" i="1"/>
  <c r="AQ47" i="1"/>
  <c r="AO47" i="1"/>
  <c r="AM47" i="1"/>
  <c r="AJ47" i="1"/>
  <c r="AI47" i="1"/>
  <c r="AK47" i="1" s="1"/>
  <c r="AA47" i="1"/>
  <c r="Y47" i="1"/>
  <c r="W47" i="1"/>
  <c r="U47" i="1"/>
  <c r="T47" i="1"/>
  <c r="K47" i="1"/>
  <c r="L47" i="1" s="1"/>
  <c r="DG46" i="1"/>
  <c r="CU46" i="1"/>
  <c r="CX46" i="1" s="1"/>
  <c r="CF46" i="1"/>
  <c r="BZ46" i="1"/>
  <c r="BL46" i="1"/>
  <c r="BF46" i="1"/>
  <c r="BG46" i="1" s="1"/>
  <c r="BE46" i="1"/>
  <c r="AR46" i="1"/>
  <c r="AQ46" i="1"/>
  <c r="AO46" i="1"/>
  <c r="AM46" i="1"/>
  <c r="AJ46" i="1"/>
  <c r="AI46" i="1"/>
  <c r="AK46" i="1" s="1"/>
  <c r="AC46" i="1"/>
  <c r="AA46" i="1"/>
  <c r="CE46" i="1" s="1"/>
  <c r="Y46" i="1"/>
  <c r="W46" i="1"/>
  <c r="CW46" i="1" s="1"/>
  <c r="U46" i="1"/>
  <c r="T46" i="1"/>
  <c r="K46" i="1"/>
  <c r="L46" i="1" s="1"/>
  <c r="DG45" i="1"/>
  <c r="CV45" i="1"/>
  <c r="CU45" i="1"/>
  <c r="CX45" i="1" s="1"/>
  <c r="CC45" i="1"/>
  <c r="BZ45" i="1"/>
  <c r="BF45" i="1"/>
  <c r="BH45" i="1" s="1"/>
  <c r="BE45" i="1"/>
  <c r="AR45" i="1"/>
  <c r="AQ45" i="1"/>
  <c r="AO45" i="1"/>
  <c r="AM45" i="1"/>
  <c r="AJ45" i="1"/>
  <c r="AI45" i="1"/>
  <c r="AC45" i="1"/>
  <c r="AA45" i="1"/>
  <c r="Y45" i="1"/>
  <c r="BM45" i="1" s="1"/>
  <c r="W45" i="1"/>
  <c r="CW45" i="1" s="1"/>
  <c r="U45" i="1"/>
  <c r="T45" i="1"/>
  <c r="L45" i="1"/>
  <c r="K45" i="1"/>
  <c r="DG44" i="1"/>
  <c r="CU44" i="1"/>
  <c r="CF44" i="1"/>
  <c r="CE44" i="1"/>
  <c r="BZ44" i="1"/>
  <c r="BF44" i="1"/>
  <c r="BG44" i="1" s="1"/>
  <c r="BE44" i="1"/>
  <c r="AR44" i="1"/>
  <c r="AQ44" i="1"/>
  <c r="AO44" i="1"/>
  <c r="AM44" i="1"/>
  <c r="AJ44" i="1"/>
  <c r="AI44" i="1"/>
  <c r="AK44" i="1" s="1"/>
  <c r="AC44" i="1"/>
  <c r="AB44" i="1"/>
  <c r="AA44" i="1"/>
  <c r="Y44" i="1"/>
  <c r="BM44" i="1" s="1"/>
  <c r="W44" i="1"/>
  <c r="U44" i="1"/>
  <c r="T44" i="1"/>
  <c r="K44" i="1"/>
  <c r="L44" i="1" s="1"/>
  <c r="DG43" i="1"/>
  <c r="CU43" i="1"/>
  <c r="CX43" i="1" s="1"/>
  <c r="CG43" i="1"/>
  <c r="BZ43" i="1"/>
  <c r="BL43" i="1"/>
  <c r="BF43" i="1"/>
  <c r="BH43" i="1" s="1"/>
  <c r="BE43" i="1"/>
  <c r="AR43" i="1"/>
  <c r="AQ43" i="1"/>
  <c r="AO43" i="1"/>
  <c r="AM43" i="1"/>
  <c r="AJ43" i="1"/>
  <c r="AI43" i="1"/>
  <c r="AK43" i="1" s="1"/>
  <c r="AC43" i="1"/>
  <c r="AA43" i="1"/>
  <c r="CF43" i="1" s="1"/>
  <c r="Y43" i="1"/>
  <c r="BM43" i="1" s="1"/>
  <c r="W43" i="1"/>
  <c r="CW43" i="1" s="1"/>
  <c r="U43" i="1"/>
  <c r="T43" i="1"/>
  <c r="L43" i="1"/>
  <c r="K43" i="1"/>
  <c r="DG42" i="1"/>
  <c r="CU42" i="1"/>
  <c r="CX42" i="1" s="1"/>
  <c r="BZ42" i="1"/>
  <c r="BN42" i="1"/>
  <c r="BF42" i="1"/>
  <c r="BE42" i="1"/>
  <c r="AC42" i="1" s="1"/>
  <c r="AR42" i="1"/>
  <c r="AQ42" i="1"/>
  <c r="AO42" i="1"/>
  <c r="AM42" i="1"/>
  <c r="AJ42" i="1"/>
  <c r="AI42" i="1"/>
  <c r="AA42" i="1"/>
  <c r="CF42" i="1" s="1"/>
  <c r="Y42" i="1"/>
  <c r="BM42" i="1" s="1"/>
  <c r="W42" i="1"/>
  <c r="CW42" i="1" s="1"/>
  <c r="U42" i="1"/>
  <c r="T42" i="1"/>
  <c r="L42" i="1"/>
  <c r="K42" i="1"/>
  <c r="DG41" i="1"/>
  <c r="CU41" i="1"/>
  <c r="CX41" i="1" s="1"/>
  <c r="BZ41" i="1"/>
  <c r="BK41" i="1"/>
  <c r="BF41" i="1"/>
  <c r="BE41" i="1"/>
  <c r="AC41" i="1" s="1"/>
  <c r="AR41" i="1"/>
  <c r="AQ41" i="1"/>
  <c r="AO41" i="1"/>
  <c r="AM41" i="1"/>
  <c r="AJ41" i="1"/>
  <c r="AI41" i="1"/>
  <c r="AA41" i="1"/>
  <c r="CF41" i="1" s="1"/>
  <c r="Y41" i="1"/>
  <c r="BM41" i="1" s="1"/>
  <c r="W41" i="1"/>
  <c r="CW41" i="1" s="1"/>
  <c r="U41" i="1"/>
  <c r="T41" i="1"/>
  <c r="L41" i="1"/>
  <c r="K41" i="1"/>
  <c r="DG40" i="1"/>
  <c r="CU40" i="1"/>
  <c r="CG40" i="1"/>
  <c r="BZ40" i="1"/>
  <c r="BM40" i="1"/>
  <c r="BF40" i="1"/>
  <c r="BE40" i="1"/>
  <c r="AC40" i="1" s="1"/>
  <c r="AR40" i="1"/>
  <c r="AQ40" i="1"/>
  <c r="AO40" i="1"/>
  <c r="AM40" i="1"/>
  <c r="AJ40" i="1"/>
  <c r="AI40" i="1"/>
  <c r="AA40" i="1"/>
  <c r="CE40" i="1" s="1"/>
  <c r="Y40" i="1"/>
  <c r="BL40" i="1" s="1"/>
  <c r="W40" i="1"/>
  <c r="CW40" i="1" s="1"/>
  <c r="U40" i="1"/>
  <c r="T40" i="1"/>
  <c r="L40" i="1"/>
  <c r="K40" i="1"/>
  <c r="DG39" i="1"/>
  <c r="CU39" i="1"/>
  <c r="CG39" i="1"/>
  <c r="BZ39" i="1"/>
  <c r="BH39" i="1"/>
  <c r="BF39" i="1"/>
  <c r="BG39" i="1" s="1"/>
  <c r="BE39" i="1"/>
  <c r="AR39" i="1"/>
  <c r="AQ39" i="1"/>
  <c r="AO39" i="1"/>
  <c r="AM39" i="1"/>
  <c r="AJ39" i="1"/>
  <c r="AI39" i="1"/>
  <c r="AK39" i="1" s="1"/>
  <c r="AC39" i="1"/>
  <c r="AA39" i="1"/>
  <c r="CE39" i="1" s="1"/>
  <c r="Y39" i="1"/>
  <c r="BM39" i="1" s="1"/>
  <c r="W39" i="1"/>
  <c r="CW39" i="1" s="1"/>
  <c r="U39" i="1"/>
  <c r="T39" i="1"/>
  <c r="L39" i="1"/>
  <c r="K39" i="1"/>
  <c r="DG38" i="1"/>
  <c r="CV38" i="1"/>
  <c r="CU38" i="1"/>
  <c r="CX38" i="1" s="1"/>
  <c r="CC38" i="1"/>
  <c r="BZ38" i="1"/>
  <c r="BF38" i="1"/>
  <c r="BE38" i="1"/>
  <c r="BH38" i="1" s="1"/>
  <c r="AR38" i="1"/>
  <c r="AQ38" i="1"/>
  <c r="AO38" i="1"/>
  <c r="AM38" i="1"/>
  <c r="AJ38" i="1"/>
  <c r="AI38" i="1"/>
  <c r="AA38" i="1"/>
  <c r="CE38" i="1" s="1"/>
  <c r="Y38" i="1"/>
  <c r="BM38" i="1" s="1"/>
  <c r="W38" i="1"/>
  <c r="CW38" i="1" s="1"/>
  <c r="U38" i="1"/>
  <c r="T38" i="1"/>
  <c r="L38" i="1"/>
  <c r="K38" i="1"/>
  <c r="DG37" i="1"/>
  <c r="CU37" i="1"/>
  <c r="CX37" i="1" s="1"/>
  <c r="BZ37" i="1"/>
  <c r="BN37" i="1"/>
  <c r="BF37" i="1"/>
  <c r="BE37" i="1"/>
  <c r="BH37" i="1" s="1"/>
  <c r="AR37" i="1"/>
  <c r="AQ37" i="1"/>
  <c r="AO37" i="1"/>
  <c r="AM37" i="1"/>
  <c r="AJ37" i="1"/>
  <c r="AI37" i="1"/>
  <c r="AA37" i="1"/>
  <c r="CE37" i="1" s="1"/>
  <c r="Y37" i="1"/>
  <c r="BL37" i="1" s="1"/>
  <c r="W37" i="1"/>
  <c r="CW37" i="1" s="1"/>
  <c r="U37" i="1"/>
  <c r="T37" i="1"/>
  <c r="L37" i="1"/>
  <c r="K37" i="1"/>
  <c r="DG36" i="1"/>
  <c r="CU36" i="1"/>
  <c r="CC36" i="1"/>
  <c r="BZ36" i="1"/>
  <c r="BF36" i="1"/>
  <c r="BE36" i="1"/>
  <c r="BH36" i="1" s="1"/>
  <c r="AR36" i="1"/>
  <c r="AQ36" i="1"/>
  <c r="AO36" i="1"/>
  <c r="AM36" i="1"/>
  <c r="AJ36" i="1"/>
  <c r="AI36" i="1"/>
  <c r="AA36" i="1"/>
  <c r="CD36" i="1" s="1"/>
  <c r="Y36" i="1"/>
  <c r="BM36" i="1" s="1"/>
  <c r="W36" i="1"/>
  <c r="U36" i="1"/>
  <c r="T36" i="1"/>
  <c r="L36" i="1"/>
  <c r="K36" i="1"/>
  <c r="DG35" i="1"/>
  <c r="CX35" i="1"/>
  <c r="CU35" i="1"/>
  <c r="CF35" i="1"/>
  <c r="CE35" i="1"/>
  <c r="BZ35" i="1"/>
  <c r="BF35" i="1"/>
  <c r="BE35" i="1"/>
  <c r="BH35" i="1" s="1"/>
  <c r="AR35" i="1"/>
  <c r="AQ35" i="1"/>
  <c r="AO35" i="1"/>
  <c r="AM35" i="1"/>
  <c r="AJ35" i="1"/>
  <c r="AI35" i="1"/>
  <c r="AA35" i="1"/>
  <c r="CD35" i="1" s="1"/>
  <c r="Y35" i="1"/>
  <c r="BL35" i="1" s="1"/>
  <c r="W35" i="1"/>
  <c r="CW35" i="1" s="1"/>
  <c r="U35" i="1"/>
  <c r="T35" i="1"/>
  <c r="L35" i="1"/>
  <c r="K35" i="1"/>
  <c r="DG34" i="1"/>
  <c r="CU34" i="1"/>
  <c r="CG34" i="1"/>
  <c r="BZ34" i="1"/>
  <c r="BN34" i="1"/>
  <c r="BM34" i="1"/>
  <c r="BF34" i="1"/>
  <c r="BE34" i="1"/>
  <c r="AC34" i="1" s="1"/>
  <c r="AR34" i="1"/>
  <c r="AQ34" i="1"/>
  <c r="AO34" i="1"/>
  <c r="AM34" i="1"/>
  <c r="AJ34" i="1"/>
  <c r="AI34" i="1"/>
  <c r="AB34" i="1"/>
  <c r="AA34" i="1"/>
  <c r="CD34" i="1" s="1"/>
  <c r="Y34" i="1"/>
  <c r="BK34" i="1" s="1"/>
  <c r="W34" i="1"/>
  <c r="CX34" i="1" s="1"/>
  <c r="U34" i="1"/>
  <c r="T34" i="1"/>
  <c r="K34" i="1"/>
  <c r="L34" i="1" s="1"/>
  <c r="DG33" i="1"/>
  <c r="CU33" i="1"/>
  <c r="CF33" i="1"/>
  <c r="CC33" i="1"/>
  <c r="BZ33" i="1"/>
  <c r="BI33" i="1"/>
  <c r="BF33" i="1"/>
  <c r="BH33" i="1" s="1"/>
  <c r="BE33" i="1"/>
  <c r="AR33" i="1"/>
  <c r="AQ33" i="1"/>
  <c r="AO33" i="1"/>
  <c r="AM33" i="1"/>
  <c r="AJ33" i="1"/>
  <c r="AI33" i="1"/>
  <c r="AK33" i="1" s="1"/>
  <c r="AC33" i="1"/>
  <c r="AA33" i="1"/>
  <c r="CE33" i="1" s="1"/>
  <c r="Y33" i="1"/>
  <c r="BM33" i="1" s="1"/>
  <c r="W33" i="1"/>
  <c r="CW33" i="1" s="1"/>
  <c r="U33" i="1"/>
  <c r="T33" i="1"/>
  <c r="K33" i="1"/>
  <c r="L33" i="1" s="1"/>
  <c r="DG32" i="1"/>
  <c r="CU32" i="1"/>
  <c r="CF32" i="1"/>
  <c r="CE32" i="1"/>
  <c r="BZ32" i="1"/>
  <c r="BN32" i="1"/>
  <c r="BF32" i="1"/>
  <c r="BG32" i="1" s="1"/>
  <c r="BE32" i="1"/>
  <c r="AR32" i="1"/>
  <c r="AQ32" i="1"/>
  <c r="AO32" i="1"/>
  <c r="AM32" i="1"/>
  <c r="AJ32" i="1"/>
  <c r="AI32" i="1"/>
  <c r="AK32" i="1" s="1"/>
  <c r="AC32" i="1"/>
  <c r="AA32" i="1"/>
  <c r="CD32" i="1" s="1"/>
  <c r="Y32" i="1"/>
  <c r="BM32" i="1" s="1"/>
  <c r="W32" i="1"/>
  <c r="CX32" i="1" s="1"/>
  <c r="U32" i="1"/>
  <c r="T32" i="1"/>
  <c r="K32" i="1"/>
  <c r="L32" i="1" s="1"/>
  <c r="DG31" i="1"/>
  <c r="CU31" i="1"/>
  <c r="CE31" i="1"/>
  <c r="BZ31" i="1"/>
  <c r="BF31" i="1"/>
  <c r="BH31" i="1" s="1"/>
  <c r="BE31" i="1"/>
  <c r="AR31" i="1"/>
  <c r="AQ31" i="1"/>
  <c r="AO31" i="1"/>
  <c r="AM31" i="1"/>
  <c r="AJ31" i="1"/>
  <c r="AI31" i="1"/>
  <c r="AK31" i="1" s="1"/>
  <c r="AC31" i="1"/>
  <c r="AA31" i="1"/>
  <c r="CF31" i="1" s="1"/>
  <c r="Y31" i="1"/>
  <c r="BM31" i="1" s="1"/>
  <c r="W31" i="1"/>
  <c r="CW31" i="1" s="1"/>
  <c r="U31" i="1"/>
  <c r="T31" i="1"/>
  <c r="K31" i="1"/>
  <c r="L31" i="1" s="1"/>
  <c r="DG30" i="1"/>
  <c r="CU30" i="1"/>
  <c r="CG30" i="1"/>
  <c r="CF30" i="1"/>
  <c r="BZ30" i="1"/>
  <c r="BM30" i="1"/>
  <c r="BF30" i="1"/>
  <c r="BG30" i="1" s="1"/>
  <c r="BE30" i="1"/>
  <c r="AR30" i="1"/>
  <c r="AQ30" i="1"/>
  <c r="AO30" i="1"/>
  <c r="AM30" i="1"/>
  <c r="AJ30" i="1"/>
  <c r="AI30" i="1"/>
  <c r="AK30" i="1" s="1"/>
  <c r="AC30" i="1"/>
  <c r="AA30" i="1"/>
  <c r="CE30" i="1" s="1"/>
  <c r="Y30" i="1"/>
  <c r="BL30" i="1" s="1"/>
  <c r="W30" i="1"/>
  <c r="CW30" i="1" s="1"/>
  <c r="U30" i="1"/>
  <c r="T30" i="1"/>
  <c r="K30" i="1"/>
  <c r="L30" i="1" s="1"/>
  <c r="DG29" i="1"/>
  <c r="CU29" i="1"/>
  <c r="CX29" i="1" s="1"/>
  <c r="BZ29" i="1"/>
  <c r="BN29" i="1"/>
  <c r="BI29" i="1"/>
  <c r="BF29" i="1"/>
  <c r="BE29" i="1"/>
  <c r="AC29" i="1" s="1"/>
  <c r="AR29" i="1"/>
  <c r="AQ29" i="1"/>
  <c r="AO29" i="1"/>
  <c r="AM29" i="1"/>
  <c r="AJ29" i="1"/>
  <c r="AI29" i="1"/>
  <c r="AK29" i="1" s="1"/>
  <c r="AA29" i="1"/>
  <c r="CF29" i="1" s="1"/>
  <c r="Y29" i="1"/>
  <c r="BM29" i="1" s="1"/>
  <c r="W29" i="1"/>
  <c r="CW29" i="1" s="1"/>
  <c r="U29" i="1"/>
  <c r="T29" i="1"/>
  <c r="K29" i="1"/>
  <c r="L29" i="1" s="1"/>
  <c r="DG28" i="1"/>
  <c r="CU28" i="1"/>
  <c r="BZ28" i="1"/>
  <c r="BM28" i="1"/>
  <c r="BL28" i="1"/>
  <c r="BI28" i="1"/>
  <c r="BF28" i="1"/>
  <c r="BE28" i="1"/>
  <c r="BH28" i="1" s="1"/>
  <c r="AR28" i="1"/>
  <c r="AQ28" i="1"/>
  <c r="AO28" i="1"/>
  <c r="AM28" i="1"/>
  <c r="AJ28" i="1"/>
  <c r="AI28" i="1"/>
  <c r="AA28" i="1"/>
  <c r="CD28" i="1" s="1"/>
  <c r="Y28" i="1"/>
  <c r="BK28" i="1" s="1"/>
  <c r="W28" i="1"/>
  <c r="U28" i="1"/>
  <c r="T28" i="1"/>
  <c r="L28" i="1"/>
  <c r="K28" i="1"/>
  <c r="DG27" i="1"/>
  <c r="CU27" i="1"/>
  <c r="BZ27" i="1"/>
  <c r="BL27" i="1"/>
  <c r="BF27" i="1"/>
  <c r="BH27" i="1" s="1"/>
  <c r="BE27" i="1"/>
  <c r="AR27" i="1"/>
  <c r="AQ27" i="1"/>
  <c r="AO27" i="1"/>
  <c r="AM27" i="1"/>
  <c r="AJ27" i="1"/>
  <c r="AI27" i="1"/>
  <c r="AK27" i="1" s="1"/>
  <c r="AC27" i="1"/>
  <c r="AA27" i="1"/>
  <c r="CF27" i="1" s="1"/>
  <c r="Y27" i="1"/>
  <c r="BM27" i="1" s="1"/>
  <c r="W27" i="1"/>
  <c r="U27" i="1"/>
  <c r="T27" i="1"/>
  <c r="L27" i="1"/>
  <c r="K27" i="1"/>
  <c r="DG26" i="1"/>
  <c r="CU26" i="1"/>
  <c r="CX26" i="1" s="1"/>
  <c r="BZ26" i="1"/>
  <c r="BF26" i="1"/>
  <c r="BH26" i="1" s="1"/>
  <c r="BE26" i="1"/>
  <c r="AR26" i="1"/>
  <c r="AQ26" i="1"/>
  <c r="AO26" i="1"/>
  <c r="AM26" i="1"/>
  <c r="AJ26" i="1"/>
  <c r="AI26" i="1"/>
  <c r="AK26" i="1" s="1"/>
  <c r="AC26" i="1"/>
  <c r="AA26" i="1"/>
  <c r="CD26" i="1" s="1"/>
  <c r="Y26" i="1"/>
  <c r="BK26" i="1" s="1"/>
  <c r="W26" i="1"/>
  <c r="CW26" i="1" s="1"/>
  <c r="U26" i="1"/>
  <c r="T26" i="1"/>
  <c r="L26" i="1"/>
  <c r="K26" i="1"/>
  <c r="DG25" i="1"/>
  <c r="CU25" i="1"/>
  <c r="CG25" i="1"/>
  <c r="BZ25" i="1"/>
  <c r="BN25" i="1"/>
  <c r="BL25" i="1"/>
  <c r="BF25" i="1"/>
  <c r="BE25" i="1"/>
  <c r="BH25" i="1" s="1"/>
  <c r="AR25" i="1"/>
  <c r="AQ25" i="1"/>
  <c r="AO25" i="1"/>
  <c r="AM25" i="1"/>
  <c r="AJ25" i="1"/>
  <c r="AI25" i="1"/>
  <c r="AB25" i="1"/>
  <c r="AA25" i="1"/>
  <c r="CD25" i="1" s="1"/>
  <c r="Y25" i="1"/>
  <c r="BM25" i="1" s="1"/>
  <c r="W25" i="1"/>
  <c r="CW25" i="1" s="1"/>
  <c r="U25" i="1"/>
  <c r="T25" i="1"/>
  <c r="K25" i="1"/>
  <c r="L25" i="1" s="1"/>
  <c r="DG24" i="1"/>
  <c r="CU24" i="1"/>
  <c r="CG24" i="1"/>
  <c r="BZ24" i="1"/>
  <c r="BN24" i="1"/>
  <c r="BF24" i="1"/>
  <c r="BH24" i="1" s="1"/>
  <c r="BE24" i="1"/>
  <c r="AR24" i="1"/>
  <c r="AQ24" i="1"/>
  <c r="AO24" i="1"/>
  <c r="AM24" i="1"/>
  <c r="AJ24" i="1"/>
  <c r="AI24" i="1"/>
  <c r="AK24" i="1" s="1"/>
  <c r="AC24" i="1"/>
  <c r="AA24" i="1"/>
  <c r="CF24" i="1" s="1"/>
  <c r="Y24" i="1"/>
  <c r="BM24" i="1" s="1"/>
  <c r="W24" i="1"/>
  <c r="CW24" i="1" s="1"/>
  <c r="U24" i="1"/>
  <c r="T24" i="1"/>
  <c r="K24" i="1"/>
  <c r="L24" i="1" s="1"/>
  <c r="DG23" i="1"/>
  <c r="CU23" i="1"/>
  <c r="CG23" i="1"/>
  <c r="CF23" i="1"/>
  <c r="CE23" i="1"/>
  <c r="BZ23" i="1"/>
  <c r="BN23" i="1"/>
  <c r="BF23" i="1"/>
  <c r="BG23" i="1" s="1"/>
  <c r="BE23" i="1"/>
  <c r="AR23" i="1"/>
  <c r="AQ23" i="1"/>
  <c r="AO23" i="1"/>
  <c r="AM23" i="1"/>
  <c r="AJ23" i="1"/>
  <c r="AI23" i="1"/>
  <c r="AK23" i="1" s="1"/>
  <c r="AC23" i="1"/>
  <c r="AA23" i="1"/>
  <c r="CD23" i="1" s="1"/>
  <c r="Y23" i="1"/>
  <c r="BM23" i="1" s="1"/>
  <c r="W23" i="1"/>
  <c r="CX23" i="1" s="1"/>
  <c r="U23" i="1"/>
  <c r="T23" i="1"/>
  <c r="K23" i="1"/>
  <c r="L23" i="1" s="1"/>
  <c r="DG22" i="1"/>
  <c r="CU22" i="1"/>
  <c r="CH22" i="1"/>
  <c r="CG22" i="1"/>
  <c r="BZ22" i="1"/>
  <c r="BI22" i="1"/>
  <c r="BF22" i="1"/>
  <c r="BG22" i="1" s="1"/>
  <c r="BE22" i="1"/>
  <c r="AR22" i="1"/>
  <c r="AQ22" i="1"/>
  <c r="AO22" i="1"/>
  <c r="AM22" i="1"/>
  <c r="AJ22" i="1"/>
  <c r="AI22" i="1"/>
  <c r="AK22" i="1" s="1"/>
  <c r="AC22" i="1"/>
  <c r="AA22" i="1"/>
  <c r="CF22" i="1" s="1"/>
  <c r="Y22" i="1"/>
  <c r="BM22" i="1" s="1"/>
  <c r="W22" i="1"/>
  <c r="CW22" i="1" s="1"/>
  <c r="U22" i="1"/>
  <c r="T22" i="1"/>
  <c r="K22" i="1"/>
  <c r="L22" i="1" s="1"/>
  <c r="DG21" i="1"/>
  <c r="CU21" i="1"/>
  <c r="BZ21" i="1"/>
  <c r="BF21" i="1"/>
  <c r="BE21" i="1"/>
  <c r="AC21" i="1" s="1"/>
  <c r="AR21" i="1"/>
  <c r="AQ21" i="1"/>
  <c r="AO21" i="1"/>
  <c r="AM21" i="1"/>
  <c r="AJ21" i="1"/>
  <c r="AI21" i="1"/>
  <c r="AA21" i="1"/>
  <c r="CF21" i="1" s="1"/>
  <c r="Y21" i="1"/>
  <c r="BM21" i="1" s="1"/>
  <c r="W21" i="1"/>
  <c r="CW21" i="1" s="1"/>
  <c r="U21" i="1"/>
  <c r="T21" i="1"/>
  <c r="L21" i="1"/>
  <c r="K21" i="1"/>
  <c r="DG20" i="1"/>
  <c r="CU20" i="1"/>
  <c r="CG20" i="1"/>
  <c r="BZ20" i="1"/>
  <c r="BF20" i="1"/>
  <c r="BE20" i="1"/>
  <c r="BH20" i="1" s="1"/>
  <c r="AR20" i="1"/>
  <c r="AQ20" i="1"/>
  <c r="AO20" i="1"/>
  <c r="AM20" i="1"/>
  <c r="AJ20" i="1"/>
  <c r="AI20" i="1"/>
  <c r="AA20" i="1"/>
  <c r="CD20" i="1" s="1"/>
  <c r="Y20" i="1"/>
  <c r="BM20" i="1" s="1"/>
  <c r="W20" i="1"/>
  <c r="U20" i="1"/>
  <c r="T20" i="1"/>
  <c r="L20" i="1"/>
  <c r="K20" i="1"/>
  <c r="DG19" i="1"/>
  <c r="CU19" i="1"/>
  <c r="CH19" i="1"/>
  <c r="CE19" i="1"/>
  <c r="CC19" i="1"/>
  <c r="BZ19" i="1"/>
  <c r="BM19" i="1"/>
  <c r="BF19" i="1"/>
  <c r="BG19" i="1" s="1"/>
  <c r="BE19" i="1"/>
  <c r="AR19" i="1"/>
  <c r="AQ19" i="1"/>
  <c r="AO19" i="1"/>
  <c r="AM19" i="1"/>
  <c r="AJ19" i="1"/>
  <c r="AI19" i="1"/>
  <c r="AK19" i="1" s="1"/>
  <c r="AC19" i="1"/>
  <c r="AA19" i="1"/>
  <c r="CD19" i="1" s="1"/>
  <c r="Y19" i="1"/>
  <c r="BL19" i="1" s="1"/>
  <c r="W19" i="1"/>
  <c r="U19" i="1"/>
  <c r="T19" i="1"/>
  <c r="K19" i="1"/>
  <c r="L19" i="1" s="1"/>
  <c r="DG18" i="1"/>
  <c r="CU18" i="1"/>
  <c r="BZ18" i="1"/>
  <c r="BN18" i="1"/>
  <c r="BM18" i="1"/>
  <c r="BK18" i="1"/>
  <c r="BI18" i="1"/>
  <c r="BF18" i="1"/>
  <c r="BG18" i="1" s="1"/>
  <c r="BE18" i="1"/>
  <c r="AR18" i="1"/>
  <c r="AQ18" i="1"/>
  <c r="AO18" i="1"/>
  <c r="AM18" i="1"/>
  <c r="AJ18" i="1"/>
  <c r="AI18" i="1"/>
  <c r="AK18" i="1" s="1"/>
  <c r="AC18" i="1"/>
  <c r="AA18" i="1"/>
  <c r="CF18" i="1" s="1"/>
  <c r="Y18" i="1"/>
  <c r="BJ18" i="1" s="1"/>
  <c r="W18" i="1"/>
  <c r="CX18" i="1" s="1"/>
  <c r="U18" i="1"/>
  <c r="T18" i="1"/>
  <c r="K18" i="1"/>
  <c r="L18" i="1" s="1"/>
  <c r="DG17" i="1"/>
  <c r="CU17" i="1"/>
  <c r="BZ17" i="1"/>
  <c r="BN17" i="1"/>
  <c r="BM17" i="1"/>
  <c r="BO17" i="1" s="1"/>
  <c r="BF17" i="1"/>
  <c r="BE17" i="1"/>
  <c r="BH17" i="1" s="1"/>
  <c r="AR17" i="1"/>
  <c r="AQ17" i="1"/>
  <c r="AO17" i="1"/>
  <c r="AM17" i="1"/>
  <c r="AJ17" i="1"/>
  <c r="AI17" i="1"/>
  <c r="AA17" i="1"/>
  <c r="CD17" i="1" s="1"/>
  <c r="Y17" i="1"/>
  <c r="BK17" i="1" s="1"/>
  <c r="W17" i="1"/>
  <c r="CX17" i="1" s="1"/>
  <c r="U17" i="1"/>
  <c r="T17" i="1"/>
  <c r="L17" i="1"/>
  <c r="K17" i="1"/>
  <c r="DG16" i="1"/>
  <c r="CU16" i="1"/>
  <c r="CG16" i="1"/>
  <c r="BZ16" i="1"/>
  <c r="BN16" i="1"/>
  <c r="BF16" i="1"/>
  <c r="BH16" i="1" s="1"/>
  <c r="BE16" i="1"/>
  <c r="AR16" i="1"/>
  <c r="AQ16" i="1"/>
  <c r="AO16" i="1"/>
  <c r="AM16" i="1"/>
  <c r="AJ16" i="1"/>
  <c r="AI16" i="1"/>
  <c r="AK16" i="1" s="1"/>
  <c r="AC16" i="1"/>
  <c r="AA16" i="1"/>
  <c r="CF16" i="1" s="1"/>
  <c r="Y16" i="1"/>
  <c r="BK16" i="1" s="1"/>
  <c r="W16" i="1"/>
  <c r="U16" i="1"/>
  <c r="T16" i="1"/>
  <c r="K16" i="1"/>
  <c r="L16" i="1" s="1"/>
  <c r="DG15" i="1"/>
  <c r="CU15" i="1"/>
  <c r="BZ15" i="1"/>
  <c r="BN15" i="1"/>
  <c r="BL15" i="1"/>
  <c r="BI15" i="1"/>
  <c r="BF15" i="1"/>
  <c r="BE15" i="1"/>
  <c r="BH15" i="1" s="1"/>
  <c r="AR15" i="1"/>
  <c r="AQ15" i="1"/>
  <c r="AO15" i="1"/>
  <c r="AM15" i="1"/>
  <c r="AJ15" i="1"/>
  <c r="AI15" i="1"/>
  <c r="AA15" i="1"/>
  <c r="CD15" i="1" s="1"/>
  <c r="Y15" i="1"/>
  <c r="BM15" i="1" s="1"/>
  <c r="W15" i="1"/>
  <c r="CW15" i="1" s="1"/>
  <c r="U15" i="1"/>
  <c r="T15" i="1"/>
  <c r="L15" i="1"/>
  <c r="K15" i="1"/>
  <c r="DG14" i="1"/>
  <c r="CU14" i="1"/>
  <c r="CX14" i="1" s="1"/>
  <c r="CC14" i="1"/>
  <c r="BZ14" i="1"/>
  <c r="BF14" i="1"/>
  <c r="BG14" i="1" s="1"/>
  <c r="BE14" i="1"/>
  <c r="AR14" i="1"/>
  <c r="AQ14" i="1"/>
  <c r="AO14" i="1"/>
  <c r="AM14" i="1"/>
  <c r="AJ14" i="1"/>
  <c r="AI14" i="1"/>
  <c r="AK14" i="1" s="1"/>
  <c r="AC14" i="1"/>
  <c r="AA14" i="1"/>
  <c r="CD14" i="1" s="1"/>
  <c r="Y14" i="1"/>
  <c r="BK14" i="1" s="1"/>
  <c r="W14" i="1"/>
  <c r="CW14" i="1" s="1"/>
  <c r="U14" i="1"/>
  <c r="T14" i="1"/>
  <c r="L14" i="1"/>
  <c r="K14" i="1"/>
  <c r="DG13" i="1"/>
  <c r="CU13" i="1"/>
  <c r="CG13" i="1"/>
  <c r="CC13" i="1"/>
  <c r="BZ13" i="1"/>
  <c r="BN13" i="1"/>
  <c r="BF13" i="1"/>
  <c r="BE13" i="1"/>
  <c r="AC13" i="1" s="1"/>
  <c r="AR13" i="1"/>
  <c r="AQ13" i="1"/>
  <c r="AO13" i="1"/>
  <c r="AM13" i="1"/>
  <c r="AJ13" i="1"/>
  <c r="AI13" i="1"/>
  <c r="AB13" i="1"/>
  <c r="AA13" i="1"/>
  <c r="CD13" i="1" s="1"/>
  <c r="Y13" i="1"/>
  <c r="BM13" i="1" s="1"/>
  <c r="W13" i="1"/>
  <c r="CX13" i="1" s="1"/>
  <c r="U13" i="1"/>
  <c r="T13" i="1"/>
  <c r="K13" i="1"/>
  <c r="L13" i="1" s="1"/>
  <c r="DG12" i="1"/>
  <c r="CU12" i="1"/>
  <c r="CH12" i="1"/>
  <c r="CG12" i="1"/>
  <c r="BZ12" i="1"/>
  <c r="BK12" i="1"/>
  <c r="BF12" i="1"/>
  <c r="BG12" i="1" s="1"/>
  <c r="BE12" i="1"/>
  <c r="AR12" i="1"/>
  <c r="AQ12" i="1"/>
  <c r="AO12" i="1"/>
  <c r="AM12" i="1"/>
  <c r="AJ12" i="1"/>
  <c r="AI12" i="1"/>
  <c r="AK12" i="1" s="1"/>
  <c r="AC12" i="1"/>
  <c r="AA12" i="1"/>
  <c r="CF12" i="1" s="1"/>
  <c r="Y12" i="1"/>
  <c r="BL12" i="1" s="1"/>
  <c r="W12" i="1"/>
  <c r="CV12" i="1" s="1"/>
  <c r="U12" i="1"/>
  <c r="T12" i="1"/>
  <c r="K12" i="1"/>
  <c r="L12" i="1" s="1"/>
  <c r="DG11" i="1"/>
  <c r="CU11" i="1"/>
  <c r="BZ11" i="1"/>
  <c r="BF11" i="1"/>
  <c r="BE11" i="1"/>
  <c r="BH11" i="1" s="1"/>
  <c r="AR11" i="1"/>
  <c r="AQ11" i="1"/>
  <c r="AO11" i="1"/>
  <c r="AM11" i="1"/>
  <c r="AJ11" i="1"/>
  <c r="AI11" i="1"/>
  <c r="AA11" i="1"/>
  <c r="CF11" i="1" s="1"/>
  <c r="Y11" i="1"/>
  <c r="BL11" i="1" s="1"/>
  <c r="W11" i="1"/>
  <c r="CW11" i="1" s="1"/>
  <c r="U11" i="1"/>
  <c r="T11" i="1"/>
  <c r="L11" i="1"/>
  <c r="K11" i="1"/>
  <c r="DG10" i="1"/>
  <c r="CU10" i="1"/>
  <c r="CH10" i="1"/>
  <c r="BZ10" i="1"/>
  <c r="BF10" i="1"/>
  <c r="BH10" i="1" s="1"/>
  <c r="BE10" i="1"/>
  <c r="AR10" i="1"/>
  <c r="AQ10" i="1"/>
  <c r="AO10" i="1"/>
  <c r="AM10" i="1"/>
  <c r="AJ10" i="1"/>
  <c r="AI10" i="1"/>
  <c r="AK10" i="1" s="1"/>
  <c r="AC10" i="1"/>
  <c r="AA10" i="1"/>
  <c r="CF10" i="1" s="1"/>
  <c r="Y10" i="1"/>
  <c r="BM10" i="1" s="1"/>
  <c r="W10" i="1"/>
  <c r="U10" i="1"/>
  <c r="T10" i="1"/>
  <c r="L10" i="1"/>
  <c r="K10" i="1"/>
  <c r="DG9" i="1"/>
  <c r="CU9" i="1"/>
  <c r="CH9" i="1"/>
  <c r="CG9" i="1"/>
  <c r="BZ9" i="1"/>
  <c r="BN9" i="1"/>
  <c r="BF9" i="1"/>
  <c r="BG9" i="1" s="1"/>
  <c r="BE9" i="1"/>
  <c r="AR9" i="1"/>
  <c r="AQ9" i="1"/>
  <c r="AO9" i="1"/>
  <c r="AM9" i="1"/>
  <c r="AJ9" i="1"/>
  <c r="AI9" i="1"/>
  <c r="AK9" i="1" s="1"/>
  <c r="AC9" i="1"/>
  <c r="AA9" i="1"/>
  <c r="CF9" i="1" s="1"/>
  <c r="Y9" i="1"/>
  <c r="BM9" i="1" s="1"/>
  <c r="W9" i="1"/>
  <c r="CW9" i="1" s="1"/>
  <c r="U9" i="1"/>
  <c r="T9" i="1"/>
  <c r="K9" i="1"/>
  <c r="L9" i="1" s="1"/>
  <c r="DG8" i="1"/>
  <c r="CU8" i="1"/>
  <c r="CE8" i="1"/>
  <c r="CC8" i="1"/>
  <c r="BZ8" i="1"/>
  <c r="BN8" i="1"/>
  <c r="BF8" i="1"/>
  <c r="BG8" i="1" s="1"/>
  <c r="BE8" i="1"/>
  <c r="AR8" i="1"/>
  <c r="AQ8" i="1"/>
  <c r="AO8" i="1"/>
  <c r="AM8" i="1"/>
  <c r="AJ8" i="1"/>
  <c r="AI8" i="1"/>
  <c r="AK8" i="1" s="1"/>
  <c r="AC8" i="1"/>
  <c r="AA8" i="1"/>
  <c r="CD8" i="1" s="1"/>
  <c r="Y8" i="1"/>
  <c r="BM8" i="1" s="1"/>
  <c r="W8" i="1"/>
  <c r="CX8" i="1" s="1"/>
  <c r="U8" i="1"/>
  <c r="T8" i="1"/>
  <c r="K8" i="1"/>
  <c r="L8" i="1" s="1"/>
  <c r="DG7" i="1"/>
  <c r="CU7" i="1"/>
  <c r="CC7" i="1"/>
  <c r="BZ7" i="1"/>
  <c r="BF7" i="1"/>
  <c r="BE7" i="1"/>
  <c r="BH7" i="1" s="1"/>
  <c r="AR7" i="1"/>
  <c r="AQ7" i="1"/>
  <c r="AO7" i="1"/>
  <c r="AM7" i="1"/>
  <c r="AJ7" i="1"/>
  <c r="AI7" i="1"/>
  <c r="AA7" i="1"/>
  <c r="CF7" i="1" s="1"/>
  <c r="Y7" i="1"/>
  <c r="BM7" i="1" s="1"/>
  <c r="W7" i="1"/>
  <c r="U7" i="1"/>
  <c r="T7" i="1"/>
  <c r="L7" i="1"/>
  <c r="K7" i="1"/>
  <c r="DG6" i="1"/>
  <c r="CU6" i="1"/>
  <c r="CC6" i="1"/>
  <c r="BZ6" i="1"/>
  <c r="BF6" i="1"/>
  <c r="BE6" i="1"/>
  <c r="BH6" i="1" s="1"/>
  <c r="AR6" i="1"/>
  <c r="AQ6" i="1"/>
  <c r="AO6" i="1"/>
  <c r="AM6" i="1"/>
  <c r="AJ6" i="1"/>
  <c r="AI6" i="1"/>
  <c r="AA6" i="1"/>
  <c r="CD6" i="1" s="1"/>
  <c r="Y6" i="1"/>
  <c r="BM6" i="1" s="1"/>
  <c r="W6" i="1"/>
  <c r="U6" i="1"/>
  <c r="T6" i="1"/>
  <c r="L6" i="1"/>
  <c r="K6" i="1"/>
  <c r="DG5" i="1"/>
  <c r="CX5" i="1"/>
  <c r="CU5" i="1"/>
  <c r="CE5" i="1"/>
  <c r="CC5" i="1"/>
  <c r="BZ5" i="1"/>
  <c r="BF5" i="1"/>
  <c r="BH5" i="1" s="1"/>
  <c r="BE5" i="1"/>
  <c r="AR5" i="1"/>
  <c r="AQ5" i="1"/>
  <c r="AO5" i="1"/>
  <c r="AM5" i="1"/>
  <c r="AJ5" i="1"/>
  <c r="AI5" i="1"/>
  <c r="AK5" i="1" s="1"/>
  <c r="AC5" i="1"/>
  <c r="AA5" i="1"/>
  <c r="CD5" i="1" s="1"/>
  <c r="Y5" i="1"/>
  <c r="BM5" i="1" s="1"/>
  <c r="W5" i="1"/>
  <c r="CW5" i="1" s="1"/>
  <c r="U5" i="1"/>
  <c r="T5" i="1"/>
  <c r="L5" i="1"/>
  <c r="K5" i="1"/>
  <c r="DG4" i="1"/>
  <c r="CV4" i="1"/>
  <c r="CU4" i="1"/>
  <c r="CX4" i="1" s="1"/>
  <c r="CE4" i="1"/>
  <c r="BZ4" i="1"/>
  <c r="BN4" i="1"/>
  <c r="BF4" i="1"/>
  <c r="BG4" i="1" s="1"/>
  <c r="BE4" i="1"/>
  <c r="AR4" i="1"/>
  <c r="AQ4" i="1"/>
  <c r="AO4" i="1"/>
  <c r="AM4" i="1"/>
  <c r="AJ4" i="1"/>
  <c r="AI4" i="1"/>
  <c r="AK4" i="1" s="1"/>
  <c r="AC4" i="1"/>
  <c r="AA4" i="1"/>
  <c r="CD4" i="1" s="1"/>
  <c r="Y4" i="1"/>
  <c r="BM4" i="1" s="1"/>
  <c r="W4" i="1"/>
  <c r="CW4" i="1" s="1"/>
  <c r="U4" i="1"/>
  <c r="T4" i="1"/>
  <c r="K4" i="1"/>
  <c r="L4" i="1" s="1"/>
  <c r="DG3" i="1"/>
  <c r="CX3" i="1"/>
  <c r="CU3" i="1"/>
  <c r="CG3" i="1"/>
  <c r="BZ3" i="1"/>
  <c r="BF3" i="1"/>
  <c r="BE3" i="1"/>
  <c r="BH3" i="1" s="1"/>
  <c r="AR3" i="1"/>
  <c r="AQ3" i="1"/>
  <c r="AO3" i="1"/>
  <c r="AM3" i="1"/>
  <c r="AJ3" i="1"/>
  <c r="AI3" i="1"/>
  <c r="AA3" i="1"/>
  <c r="CD3" i="1" s="1"/>
  <c r="Y3" i="1"/>
  <c r="BM3" i="1" s="1"/>
  <c r="W3" i="1"/>
  <c r="CW3" i="1" s="1"/>
  <c r="U3" i="1"/>
  <c r="T3" i="1"/>
  <c r="L3" i="1"/>
  <c r="K3" i="1"/>
  <c r="CF17" i="1" l="1"/>
  <c r="BM47" i="1"/>
  <c r="BN47" i="1"/>
  <c r="AK3" i="1"/>
  <c r="BN3" i="1"/>
  <c r="BH4" i="1"/>
  <c r="CX10" i="1"/>
  <c r="CW12" i="1"/>
  <c r="CF13" i="1"/>
  <c r="AK15" i="1"/>
  <c r="AB16" i="1"/>
  <c r="CE17" i="1"/>
  <c r="BO18" i="1"/>
  <c r="AK20" i="1"/>
  <c r="BN20" i="1"/>
  <c r="BO20" i="1" s="1"/>
  <c r="AK21" i="1"/>
  <c r="BN21" i="1"/>
  <c r="CX24" i="1"/>
  <c r="CF25" i="1"/>
  <c r="BN26" i="1"/>
  <c r="AK28" i="1"/>
  <c r="CH29" i="1"/>
  <c r="CI29" i="1" s="1"/>
  <c r="BH30" i="1"/>
  <c r="AB31" i="1"/>
  <c r="CX31" i="1"/>
  <c r="BH32" i="1"/>
  <c r="CX33" i="1"/>
  <c r="CF34" i="1"/>
  <c r="BM37" i="1"/>
  <c r="BO37" i="1" s="1"/>
  <c r="AK40" i="1"/>
  <c r="BI40" i="1"/>
  <c r="AK41" i="1"/>
  <c r="BI41" i="1"/>
  <c r="AK42" i="1"/>
  <c r="BL42" i="1"/>
  <c r="BH44" i="1"/>
  <c r="CW77" i="1"/>
  <c r="CX77" i="1"/>
  <c r="CV77" i="1"/>
  <c r="BH83" i="1"/>
  <c r="AC83" i="1"/>
  <c r="BM87" i="1"/>
  <c r="BN87" i="1"/>
  <c r="BM94" i="1"/>
  <c r="BN94" i="1"/>
  <c r="BO10" i="1"/>
  <c r="CI10" i="1" s="1"/>
  <c r="BH84" i="1"/>
  <c r="AC84" i="1"/>
  <c r="CF5" i="1"/>
  <c r="CF8" i="1"/>
  <c r="AC11" i="1"/>
  <c r="BG11" i="1"/>
  <c r="BM12" i="1"/>
  <c r="BH13" i="1"/>
  <c r="CE14" i="1"/>
  <c r="BI16" i="1"/>
  <c r="AB17" i="1"/>
  <c r="CG17" i="1"/>
  <c r="CX19" i="1"/>
  <c r="CC20" i="1"/>
  <c r="CG21" i="1"/>
  <c r="BO23" i="1"/>
  <c r="CB23" i="1" s="1"/>
  <c r="BO24" i="1"/>
  <c r="CB24" i="1" s="1"/>
  <c r="AC25" i="1"/>
  <c r="BG25" i="1"/>
  <c r="CX25" i="1"/>
  <c r="CE26" i="1"/>
  <c r="BN27" i="1"/>
  <c r="BO28" i="1"/>
  <c r="BG29" i="1"/>
  <c r="BO30" i="1"/>
  <c r="CI30" i="1" s="1"/>
  <c r="BI31" i="1"/>
  <c r="BH34" i="1"/>
  <c r="CG35" i="1"/>
  <c r="CE36" i="1"/>
  <c r="CF38" i="1"/>
  <c r="BN40" i="1"/>
  <c r="BN41" i="1"/>
  <c r="BN43" i="1"/>
  <c r="BN44" i="1"/>
  <c r="CD47" i="1"/>
  <c r="CF47" i="1"/>
  <c r="CC47" i="1"/>
  <c r="CD84" i="1"/>
  <c r="CF84" i="1"/>
  <c r="CE84" i="1"/>
  <c r="CC84" i="1"/>
  <c r="CG84" i="1"/>
  <c r="BH85" i="1"/>
  <c r="AC85" i="1"/>
  <c r="BH97" i="1"/>
  <c r="AC97" i="1"/>
  <c r="BH47" i="1"/>
  <c r="AC47" i="1"/>
  <c r="BH52" i="1"/>
  <c r="AC52" i="1"/>
  <c r="CC3" i="1"/>
  <c r="CE6" i="1"/>
  <c r="CE7" i="1"/>
  <c r="CX9" i="1"/>
  <c r="CE3" i="1"/>
  <c r="AB5" i="1"/>
  <c r="CG5" i="1"/>
  <c r="CX6" i="1"/>
  <c r="CF6" i="1"/>
  <c r="CX7" i="1"/>
  <c r="CG7" i="1"/>
  <c r="BO8" i="1"/>
  <c r="CG8" i="1"/>
  <c r="BO9" i="1"/>
  <c r="CB9" i="1" s="1"/>
  <c r="AB10" i="1"/>
  <c r="AK11" i="1"/>
  <c r="BM11" i="1"/>
  <c r="BN12" i="1"/>
  <c r="BO12" i="1" s="1"/>
  <c r="AK13" i="1"/>
  <c r="BL13" i="1"/>
  <c r="AB14" i="1"/>
  <c r="BH14" i="1"/>
  <c r="CF14" i="1"/>
  <c r="BL16" i="1"/>
  <c r="AC17" i="1"/>
  <c r="BG17" i="1"/>
  <c r="BH18" i="1"/>
  <c r="CG18" i="1"/>
  <c r="CF19" i="1"/>
  <c r="CE20" i="1"/>
  <c r="CH21" i="1"/>
  <c r="CX22" i="1"/>
  <c r="BH23" i="1"/>
  <c r="AK25" i="1"/>
  <c r="BI25" i="1"/>
  <c r="AB26" i="1"/>
  <c r="CF26" i="1"/>
  <c r="CX28" i="1"/>
  <c r="BN28" i="1"/>
  <c r="BH29" i="1"/>
  <c r="BN30" i="1"/>
  <c r="BL31" i="1"/>
  <c r="BN33" i="1"/>
  <c r="AK34" i="1"/>
  <c r="BL34" i="1"/>
  <c r="AC35" i="1"/>
  <c r="BG35" i="1"/>
  <c r="CX36" i="1"/>
  <c r="CF36" i="1"/>
  <c r="CF37" i="1"/>
  <c r="CG38" i="1"/>
  <c r="CC39" i="1"/>
  <c r="CE42" i="1"/>
  <c r="BK46" i="1"/>
  <c r="AB46" i="1"/>
  <c r="BN46" i="1"/>
  <c r="BM46" i="1"/>
  <c r="BO46" i="1" s="1"/>
  <c r="BM51" i="1"/>
  <c r="BO51" i="1" s="1"/>
  <c r="BN51" i="1"/>
  <c r="BI51" i="1"/>
  <c r="AB51" i="1"/>
  <c r="CE85" i="1"/>
  <c r="CF85" i="1"/>
  <c r="CC85" i="1"/>
  <c r="CG85" i="1"/>
  <c r="CF3" i="1"/>
  <c r="CC4" i="1"/>
  <c r="BO6" i="1"/>
  <c r="CB6" i="1" s="1"/>
  <c r="CG6" i="1"/>
  <c r="BH8" i="1"/>
  <c r="BH9" i="1"/>
  <c r="BN11" i="1"/>
  <c r="CG14" i="1"/>
  <c r="BO15" i="1"/>
  <c r="CE15" i="1"/>
  <c r="BM16" i="1"/>
  <c r="BO16" i="1" s="1"/>
  <c r="CB16" i="1" s="1"/>
  <c r="AK17" i="1"/>
  <c r="BL17" i="1"/>
  <c r="BH19" i="1"/>
  <c r="CG19" i="1"/>
  <c r="CX20" i="1"/>
  <c r="CF20" i="1"/>
  <c r="CX21" i="1"/>
  <c r="CG26" i="1"/>
  <c r="CX27" i="1"/>
  <c r="CG27" i="1"/>
  <c r="BN31" i="1"/>
  <c r="CC32" i="1"/>
  <c r="BO34" i="1"/>
  <c r="AK35" i="1"/>
  <c r="BM35" i="1"/>
  <c r="BO35" i="1" s="1"/>
  <c r="CV35" i="1"/>
  <c r="CG36" i="1"/>
  <c r="CG37" i="1"/>
  <c r="CH38" i="1"/>
  <c r="CF39" i="1"/>
  <c r="CF40" i="1"/>
  <c r="CG41" i="1"/>
  <c r="BO42" i="1"/>
  <c r="CG42" i="1"/>
  <c r="CE43" i="1"/>
  <c r="CD46" i="1"/>
  <c r="CG46" i="1"/>
  <c r="CD61" i="1"/>
  <c r="CE61" i="1"/>
  <c r="CC61" i="1"/>
  <c r="CH61" i="1"/>
  <c r="CF61" i="1"/>
  <c r="BM65" i="1"/>
  <c r="BN65" i="1"/>
  <c r="BO3" i="1"/>
  <c r="BL5" i="1"/>
  <c r="CX16" i="1"/>
  <c r="BO21" i="1"/>
  <c r="BI26" i="1"/>
  <c r="BO27" i="1"/>
  <c r="CE28" i="1"/>
  <c r="BN35" i="1"/>
  <c r="BO41" i="1"/>
  <c r="CB41" i="1" s="1"/>
  <c r="BO43" i="1"/>
  <c r="CW44" i="1"/>
  <c r="CV44" i="1"/>
  <c r="CD48" i="1"/>
  <c r="CG48" i="1"/>
  <c r="CF48" i="1"/>
  <c r="CW57" i="1"/>
  <c r="CX57" i="1"/>
  <c r="CV57" i="1"/>
  <c r="BL86" i="1"/>
  <c r="BN86" i="1"/>
  <c r="BM86" i="1"/>
  <c r="BO86" i="1" s="1"/>
  <c r="BI86" i="1"/>
  <c r="CD91" i="1"/>
  <c r="CE91" i="1"/>
  <c r="CC91" i="1"/>
  <c r="CF91" i="1"/>
  <c r="BO40" i="1"/>
  <c r="CE83" i="1"/>
  <c r="CF83" i="1"/>
  <c r="CG83" i="1"/>
  <c r="BL14" i="1"/>
  <c r="CF15" i="1"/>
  <c r="CF4" i="1"/>
  <c r="AC6" i="1"/>
  <c r="AC7" i="1"/>
  <c r="BM14" i="1"/>
  <c r="AB15" i="1"/>
  <c r="CG15" i="1"/>
  <c r="BL26" i="1"/>
  <c r="AB28" i="1"/>
  <c r="CF28" i="1"/>
  <c r="BO31" i="1"/>
  <c r="AC36" i="1"/>
  <c r="BG36" i="1"/>
  <c r="AC37" i="1"/>
  <c r="BG37" i="1"/>
  <c r="AC38" i="1"/>
  <c r="BG38" i="1"/>
  <c r="CX39" i="1"/>
  <c r="CX40" i="1"/>
  <c r="AB42" i="1"/>
  <c r="BO44" i="1"/>
  <c r="CF50" i="1"/>
  <c r="CH50" i="1"/>
  <c r="CE50" i="1"/>
  <c r="CC50" i="1"/>
  <c r="CG61" i="1"/>
  <c r="BH76" i="1"/>
  <c r="AC76" i="1"/>
  <c r="BH82" i="1"/>
  <c r="AC82" i="1"/>
  <c r="BM73" i="1"/>
  <c r="BN73" i="1"/>
  <c r="BL73" i="1"/>
  <c r="BI73" i="1"/>
  <c r="AB73" i="1"/>
  <c r="BN10" i="1"/>
  <c r="BN5" i="1"/>
  <c r="BO5" i="1" s="1"/>
  <c r="BG6" i="1"/>
  <c r="BG7" i="1"/>
  <c r="CG11" i="1"/>
  <c r="AC3" i="1"/>
  <c r="BG3" i="1"/>
  <c r="CV3" i="1"/>
  <c r="BO4" i="1"/>
  <c r="CG4" i="1"/>
  <c r="AK6" i="1"/>
  <c r="BN6" i="1"/>
  <c r="AK7" i="1"/>
  <c r="BN7" i="1"/>
  <c r="BO7" i="1" s="1"/>
  <c r="CG10" i="1"/>
  <c r="CX11" i="1"/>
  <c r="BH12" i="1"/>
  <c r="CX12" i="1"/>
  <c r="BO13" i="1"/>
  <c r="CE13" i="1"/>
  <c r="BN14" i="1"/>
  <c r="AC15" i="1"/>
  <c r="BG15" i="1"/>
  <c r="CX15" i="1"/>
  <c r="CE16" i="1"/>
  <c r="BL18" i="1"/>
  <c r="BN19" i="1"/>
  <c r="BO19" i="1" s="1"/>
  <c r="AC20" i="1"/>
  <c r="BG20" i="1"/>
  <c r="BH21" i="1"/>
  <c r="BN22" i="1"/>
  <c r="BO22" i="1" s="1"/>
  <c r="CC23" i="1"/>
  <c r="BO25" i="1"/>
  <c r="CE25" i="1"/>
  <c r="BM26" i="1"/>
  <c r="BO26" i="1" s="1"/>
  <c r="AB27" i="1"/>
  <c r="AC28" i="1"/>
  <c r="BG28" i="1"/>
  <c r="CG28" i="1"/>
  <c r="BO29" i="1"/>
  <c r="CG29" i="1"/>
  <c r="CX30" i="1"/>
  <c r="CG31" i="1"/>
  <c r="BO32" i="1"/>
  <c r="CG32" i="1"/>
  <c r="BO33" i="1"/>
  <c r="CB33" i="1" s="1"/>
  <c r="CG33" i="1"/>
  <c r="CE34" i="1"/>
  <c r="CC35" i="1"/>
  <c r="AK36" i="1"/>
  <c r="BN36" i="1"/>
  <c r="BO36" i="1" s="1"/>
  <c r="CB36" i="1" s="1"/>
  <c r="AK37" i="1"/>
  <c r="BI37" i="1"/>
  <c r="AK38" i="1"/>
  <c r="BN38" i="1"/>
  <c r="BO38" i="1" s="1"/>
  <c r="BH40" i="1"/>
  <c r="BH41" i="1"/>
  <c r="BH42" i="1"/>
  <c r="AB43" i="1"/>
  <c r="CD44" i="1"/>
  <c r="CC44" i="1"/>
  <c r="CG44" i="1"/>
  <c r="CI44" i="1" s="1"/>
  <c r="CX44" i="1"/>
  <c r="CE45" i="1"/>
  <c r="CH45" i="1"/>
  <c r="CG45" i="1"/>
  <c r="CF45" i="1"/>
  <c r="CF82" i="1"/>
  <c r="CG82" i="1"/>
  <c r="AK52" i="1"/>
  <c r="BH53" i="1"/>
  <c r="CX53" i="1"/>
  <c r="AB55" i="1"/>
  <c r="BH55" i="1"/>
  <c r="CG60" i="1"/>
  <c r="CX63" i="1"/>
  <c r="BH64" i="1"/>
  <c r="AK68" i="1"/>
  <c r="AK70" i="1"/>
  <c r="AB72" i="1"/>
  <c r="BH72" i="1"/>
  <c r="CF72" i="1"/>
  <c r="CE76" i="1"/>
  <c r="AK78" i="1"/>
  <c r="BO78" i="1"/>
  <c r="CB78" i="1" s="1"/>
  <c r="AC79" i="1"/>
  <c r="BG79" i="1"/>
  <c r="AK80" i="1"/>
  <c r="BH81" i="1"/>
  <c r="CG81" i="1"/>
  <c r="CX82" i="1"/>
  <c r="CF86" i="1"/>
  <c r="CX87" i="1"/>
  <c r="AC88" i="1"/>
  <c r="BG88" i="1"/>
  <c r="AC90" i="1"/>
  <c r="BG90" i="1"/>
  <c r="CG90" i="1"/>
  <c r="AB93" i="1"/>
  <c r="CG93" i="1"/>
  <c r="CG94" i="1"/>
  <c r="BH96" i="1"/>
  <c r="CE97" i="1"/>
  <c r="BM98" i="1"/>
  <c r="BO98" i="1" s="1"/>
  <c r="AK99" i="1"/>
  <c r="BN99" i="1"/>
  <c r="BO99" i="1" s="1"/>
  <c r="CB99" i="1" s="1"/>
  <c r="AK100" i="1"/>
  <c r="BH101" i="1"/>
  <c r="CX101" i="1"/>
  <c r="BG47" i="1"/>
  <c r="AB48" i="1"/>
  <c r="CC49" i="1"/>
  <c r="BN50" i="1"/>
  <c r="CE51" i="1"/>
  <c r="BN52" i="1"/>
  <c r="BO52" i="1" s="1"/>
  <c r="BN53" i="1"/>
  <c r="BI54" i="1"/>
  <c r="BI55" i="1"/>
  <c r="CG56" i="1"/>
  <c r="BO57" i="1"/>
  <c r="CG57" i="1"/>
  <c r="CF58" i="1"/>
  <c r="CG59" i="1"/>
  <c r="BL60" i="1"/>
  <c r="BH61" i="1"/>
  <c r="BO62" i="1"/>
  <c r="CG62" i="1"/>
  <c r="BO63" i="1"/>
  <c r="AK64" i="1"/>
  <c r="BN64" i="1"/>
  <c r="BO64" i="1" s="1"/>
  <c r="CB64" i="1" s="1"/>
  <c r="CG68" i="1"/>
  <c r="BM71" i="1"/>
  <c r="BL72" i="1"/>
  <c r="CE73" i="1"/>
  <c r="CC74" i="1"/>
  <c r="BG76" i="1"/>
  <c r="CG76" i="1"/>
  <c r="BO77" i="1"/>
  <c r="CB77" i="1" s="1"/>
  <c r="BN79" i="1"/>
  <c r="BO79" i="1" s="1"/>
  <c r="CB79" i="1" s="1"/>
  <c r="BG82" i="1"/>
  <c r="BG83" i="1"/>
  <c r="BG84" i="1"/>
  <c r="BG85" i="1"/>
  <c r="CX85" i="1"/>
  <c r="CX86" i="1"/>
  <c r="CC88" i="1"/>
  <c r="CC89" i="1"/>
  <c r="BM90" i="1"/>
  <c r="AB91" i="1"/>
  <c r="BH91" i="1"/>
  <c r="CX92" i="1"/>
  <c r="BN92" i="1"/>
  <c r="BO92" i="1" s="1"/>
  <c r="CB92" i="1" s="1"/>
  <c r="AK93" i="1"/>
  <c r="BL93" i="1"/>
  <c r="BH94" i="1"/>
  <c r="BN96" i="1"/>
  <c r="BG97" i="1"/>
  <c r="CG97" i="1"/>
  <c r="CC99" i="1"/>
  <c r="BN100" i="1"/>
  <c r="BO100" i="1" s="1"/>
  <c r="BM101" i="1"/>
  <c r="BO49" i="1"/>
  <c r="CG49" i="1"/>
  <c r="CF51" i="1"/>
  <c r="BN54" i="1"/>
  <c r="BL55" i="1"/>
  <c r="CG58" i="1"/>
  <c r="CH59" i="1"/>
  <c r="BM60" i="1"/>
  <c r="BO60" i="1" s="1"/>
  <c r="CB60" i="1" s="1"/>
  <c r="BM61" i="1"/>
  <c r="CV65" i="1"/>
  <c r="BO66" i="1"/>
  <c r="CH68" i="1"/>
  <c r="BN71" i="1"/>
  <c r="BM72" i="1"/>
  <c r="CF73" i="1"/>
  <c r="CE74" i="1"/>
  <c r="BM75" i="1"/>
  <c r="BO75" i="1" s="1"/>
  <c r="CB75" i="1" s="1"/>
  <c r="BL76" i="1"/>
  <c r="CG77" i="1"/>
  <c r="CC78" i="1"/>
  <c r="BN80" i="1"/>
  <c r="BO80" i="1" s="1"/>
  <c r="BM81" i="1"/>
  <c r="BK82" i="1"/>
  <c r="BI83" i="1"/>
  <c r="BN84" i="1"/>
  <c r="BO84" i="1" s="1"/>
  <c r="BM85" i="1"/>
  <c r="BH87" i="1"/>
  <c r="CE88" i="1"/>
  <c r="CX89" i="1"/>
  <c r="CE89" i="1"/>
  <c r="BN90" i="1"/>
  <c r="CV91" i="1"/>
  <c r="BM93" i="1"/>
  <c r="BO93" i="1" s="1"/>
  <c r="CV94" i="1"/>
  <c r="CC95" i="1"/>
  <c r="AK97" i="1"/>
  <c r="BI97" i="1"/>
  <c r="CE98" i="1"/>
  <c r="CF99" i="1"/>
  <c r="BN101" i="1"/>
  <c r="BO45" i="1"/>
  <c r="AK48" i="1"/>
  <c r="BI48" i="1"/>
  <c r="CH49" i="1"/>
  <c r="CG51" i="1"/>
  <c r="CC52" i="1"/>
  <c r="CC53" i="1"/>
  <c r="BM55" i="1"/>
  <c r="BO55" i="1" s="1"/>
  <c r="CB55" i="1" s="1"/>
  <c r="AC56" i="1"/>
  <c r="BG56" i="1"/>
  <c r="AC57" i="1"/>
  <c r="BG57" i="1"/>
  <c r="BO58" i="1"/>
  <c r="CH58" i="1"/>
  <c r="BO59" i="1"/>
  <c r="CI59" i="1" s="1"/>
  <c r="CX59" i="1"/>
  <c r="CX60" i="1"/>
  <c r="BN60" i="1"/>
  <c r="BN61" i="1"/>
  <c r="AC62" i="1"/>
  <c r="BG62" i="1"/>
  <c r="BH63" i="1"/>
  <c r="CC64" i="1"/>
  <c r="AK65" i="1"/>
  <c r="BH66" i="1"/>
  <c r="CF67" i="1"/>
  <c r="CX68" i="1"/>
  <c r="BH69" i="1"/>
  <c r="CX69" i="1"/>
  <c r="CC70" i="1"/>
  <c r="BN72" i="1"/>
  <c r="AC73" i="1"/>
  <c r="BG73" i="1"/>
  <c r="CG73" i="1"/>
  <c r="CF74" i="1"/>
  <c r="CX75" i="1"/>
  <c r="BN75" i="1"/>
  <c r="BM76" i="1"/>
  <c r="BO76" i="1" s="1"/>
  <c r="AB77" i="1"/>
  <c r="BH77" i="1"/>
  <c r="CX78" i="1"/>
  <c r="CE78" i="1"/>
  <c r="CF79" i="1"/>
  <c r="CX80" i="1"/>
  <c r="CX81" i="1"/>
  <c r="BN81" i="1"/>
  <c r="BM82" i="1"/>
  <c r="BO82" i="1" s="1"/>
  <c r="CB82" i="1" s="1"/>
  <c r="BM83" i="1"/>
  <c r="BO83" i="1" s="1"/>
  <c r="CB83" i="1" s="1"/>
  <c r="BN85" i="1"/>
  <c r="BO85" i="1" s="1"/>
  <c r="AK86" i="1"/>
  <c r="AK87" i="1"/>
  <c r="CF88" i="1"/>
  <c r="CF89" i="1"/>
  <c r="CX90" i="1"/>
  <c r="AK91" i="1"/>
  <c r="BN91" i="1"/>
  <c r="BO91" i="1" s="1"/>
  <c r="CX91" i="1"/>
  <c r="CE92" i="1"/>
  <c r="BN93" i="1"/>
  <c r="CX94" i="1"/>
  <c r="CE95" i="1"/>
  <c r="BL97" i="1"/>
  <c r="AB98" i="1"/>
  <c r="BH98" i="1"/>
  <c r="CF98" i="1"/>
  <c r="CG99" i="1"/>
  <c r="CE100" i="1"/>
  <c r="BL48" i="1"/>
  <c r="BO50" i="1"/>
  <c r="AK51" i="1"/>
  <c r="CX51" i="1"/>
  <c r="CE52" i="1"/>
  <c r="CE53" i="1"/>
  <c r="CG54" i="1"/>
  <c r="BN55" i="1"/>
  <c r="AK56" i="1"/>
  <c r="AK57" i="1"/>
  <c r="BH58" i="1"/>
  <c r="AK62" i="1"/>
  <c r="AK63" i="1"/>
  <c r="CE64" i="1"/>
  <c r="BO68" i="1"/>
  <c r="CW69" i="1"/>
  <c r="CE70" i="1"/>
  <c r="CF71" i="1"/>
  <c r="AK73" i="1"/>
  <c r="CX73" i="1"/>
  <c r="BH74" i="1"/>
  <c r="CG74" i="1"/>
  <c r="BN76" i="1"/>
  <c r="CF78" i="1"/>
  <c r="CG79" i="1"/>
  <c r="CG80" i="1"/>
  <c r="BN82" i="1"/>
  <c r="BN83" i="1"/>
  <c r="BH89" i="1"/>
  <c r="CG89" i="1"/>
  <c r="CC90" i="1"/>
  <c r="AB92" i="1"/>
  <c r="BH92" i="1"/>
  <c r="CF92" i="1"/>
  <c r="AB95" i="1"/>
  <c r="BH95" i="1"/>
  <c r="CF95" i="1"/>
  <c r="CE96" i="1"/>
  <c r="BM97" i="1"/>
  <c r="CG98" i="1"/>
  <c r="CX99" i="1"/>
  <c r="CF100" i="1"/>
  <c r="CC101" i="1"/>
  <c r="CE60" i="1"/>
  <c r="CE75" i="1"/>
  <c r="CG78" i="1"/>
  <c r="CE81" i="1"/>
  <c r="CE90" i="1"/>
  <c r="BN97" i="1"/>
  <c r="AK98" i="1"/>
  <c r="CF101" i="1"/>
  <c r="AK45" i="1"/>
  <c r="BN45" i="1"/>
  <c r="BH46" i="1"/>
  <c r="CX47" i="1"/>
  <c r="BN48" i="1"/>
  <c r="BO48" i="1" s="1"/>
  <c r="AB50" i="1"/>
  <c r="BG52" i="1"/>
  <c r="CG52" i="1"/>
  <c r="BO53" i="1"/>
  <c r="CB53" i="1" s="1"/>
  <c r="CG53" i="1"/>
  <c r="BO54" i="1"/>
  <c r="CX54" i="1"/>
  <c r="CE55" i="1"/>
  <c r="BO56" i="1"/>
  <c r="AK58" i="1"/>
  <c r="AK59" i="1"/>
  <c r="AB60" i="1"/>
  <c r="CF60" i="1"/>
  <c r="CG64" i="1"/>
  <c r="BH67" i="1"/>
  <c r="BG68" i="1"/>
  <c r="AC70" i="1"/>
  <c r="BG70" i="1"/>
  <c r="CX71" i="1"/>
  <c r="CE72" i="1"/>
  <c r="AK74" i="1"/>
  <c r="BO74" i="1"/>
  <c r="AB75" i="1"/>
  <c r="CG75" i="1"/>
  <c r="CC76" i="1"/>
  <c r="AC78" i="1"/>
  <c r="BG78" i="1"/>
  <c r="AC80" i="1"/>
  <c r="BG80" i="1"/>
  <c r="AB81" i="1"/>
  <c r="CF81" i="1"/>
  <c r="CX84" i="1"/>
  <c r="AB90" i="1"/>
  <c r="CF90" i="1"/>
  <c r="CF93" i="1"/>
  <c r="BO96" i="1"/>
  <c r="CG101" i="1"/>
  <c r="CH101" i="1"/>
  <c r="BI101" i="1"/>
  <c r="BJ101" i="1"/>
  <c r="CV101" i="1"/>
  <c r="BK101" i="1"/>
  <c r="CD101" i="1"/>
  <c r="AB101" i="1"/>
  <c r="BG100" i="1"/>
  <c r="CH100" i="1"/>
  <c r="BI100" i="1"/>
  <c r="BJ100" i="1"/>
  <c r="CC100" i="1"/>
  <c r="CV100" i="1"/>
  <c r="CH99" i="1"/>
  <c r="BI99" i="1"/>
  <c r="BJ99" i="1"/>
  <c r="CV99" i="1"/>
  <c r="BK99" i="1"/>
  <c r="CD99" i="1"/>
  <c r="AB99" i="1"/>
  <c r="BL99" i="1"/>
  <c r="CB98" i="1"/>
  <c r="CH98" i="1"/>
  <c r="CI98" i="1" s="1"/>
  <c r="BJ98" i="1"/>
  <c r="CC98" i="1"/>
  <c r="CV98" i="1"/>
  <c r="CW98" i="1"/>
  <c r="CH97" i="1"/>
  <c r="BJ97" i="1"/>
  <c r="CC97" i="1"/>
  <c r="CV97" i="1"/>
  <c r="CW97" i="1"/>
  <c r="CB96" i="1"/>
  <c r="CH96" i="1"/>
  <c r="CI96" i="1" s="1"/>
  <c r="BI96" i="1"/>
  <c r="BJ96" i="1"/>
  <c r="CV96" i="1"/>
  <c r="BK96" i="1"/>
  <c r="CW96" i="1"/>
  <c r="AB96" i="1"/>
  <c r="BL96" i="1"/>
  <c r="CB95" i="1"/>
  <c r="CI95" i="1"/>
  <c r="BI95" i="1"/>
  <c r="BJ95" i="1"/>
  <c r="CV95" i="1"/>
  <c r="CW95" i="1"/>
  <c r="BI94" i="1"/>
  <c r="BJ94" i="1"/>
  <c r="BK94" i="1"/>
  <c r="CD94" i="1"/>
  <c r="AB94" i="1"/>
  <c r="BL94" i="1"/>
  <c r="CB93" i="1"/>
  <c r="CI93" i="1"/>
  <c r="BG93" i="1"/>
  <c r="CH93" i="1"/>
  <c r="BI93" i="1"/>
  <c r="BJ93" i="1"/>
  <c r="CC93" i="1"/>
  <c r="CV93" i="1"/>
  <c r="CH92" i="1"/>
  <c r="BJ92" i="1"/>
  <c r="CC92" i="1"/>
  <c r="CV92" i="1"/>
  <c r="CW92" i="1"/>
  <c r="CH91" i="1"/>
  <c r="BI91" i="1"/>
  <c r="BJ91" i="1"/>
  <c r="BK91" i="1"/>
  <c r="BL91" i="1"/>
  <c r="CH90" i="1"/>
  <c r="BI90" i="1"/>
  <c r="BJ90" i="1"/>
  <c r="CV90" i="1"/>
  <c r="CW90" i="1"/>
  <c r="CB89" i="1"/>
  <c r="CH89" i="1"/>
  <c r="CI89" i="1" s="1"/>
  <c r="BI89" i="1"/>
  <c r="BJ89" i="1"/>
  <c r="CV89" i="1"/>
  <c r="BK89" i="1"/>
  <c r="CW89" i="1"/>
  <c r="AB89" i="1"/>
  <c r="BN88" i="1"/>
  <c r="BO88" i="1" s="1"/>
  <c r="CG88" i="1"/>
  <c r="CH88" i="1"/>
  <c r="BI88" i="1"/>
  <c r="BJ88" i="1"/>
  <c r="CV88" i="1"/>
  <c r="BK88" i="1"/>
  <c r="CW88" i="1"/>
  <c r="AB88" i="1"/>
  <c r="BL88" i="1"/>
  <c r="BG87" i="1"/>
  <c r="BI87" i="1"/>
  <c r="BJ87" i="1"/>
  <c r="CC87" i="1"/>
  <c r="CV87" i="1"/>
  <c r="BK87" i="1"/>
  <c r="CD87" i="1"/>
  <c r="AB87" i="1"/>
  <c r="BL87" i="1"/>
  <c r="CE87" i="1"/>
  <c r="CB86" i="1"/>
  <c r="CH86" i="1"/>
  <c r="CI86" i="1" s="1"/>
  <c r="BJ86" i="1"/>
  <c r="CC86" i="1"/>
  <c r="CV86" i="1"/>
  <c r="BK86" i="1"/>
  <c r="CD86" i="1"/>
  <c r="AB86" i="1"/>
  <c r="CB85" i="1"/>
  <c r="CI85" i="1"/>
  <c r="BI85" i="1"/>
  <c r="BJ85" i="1"/>
  <c r="CV85" i="1"/>
  <c r="BK85" i="1"/>
  <c r="CD85" i="1"/>
  <c r="AB85" i="1"/>
  <c r="CH84" i="1"/>
  <c r="BI84" i="1"/>
  <c r="BJ84" i="1"/>
  <c r="CV84" i="1"/>
  <c r="BK84" i="1"/>
  <c r="CW84" i="1"/>
  <c r="AB84" i="1"/>
  <c r="BL84" i="1"/>
  <c r="CH83" i="1"/>
  <c r="BJ83" i="1"/>
  <c r="CC83" i="1"/>
  <c r="CV83" i="1"/>
  <c r="BK83" i="1"/>
  <c r="CD83" i="1"/>
  <c r="AB83" i="1"/>
  <c r="CH82" i="1"/>
  <c r="BI82" i="1"/>
  <c r="BJ82" i="1"/>
  <c r="CC82" i="1"/>
  <c r="CD82" i="1"/>
  <c r="AB82" i="1"/>
  <c r="CE82" i="1"/>
  <c r="BG81" i="1"/>
  <c r="CH81" i="1"/>
  <c r="BJ81" i="1"/>
  <c r="CC81" i="1"/>
  <c r="CV81" i="1"/>
  <c r="CW81" i="1"/>
  <c r="CH80" i="1"/>
  <c r="BI80" i="1"/>
  <c r="CC80" i="1"/>
  <c r="CV80" i="1"/>
  <c r="CD80" i="1"/>
  <c r="CW80" i="1"/>
  <c r="AB80" i="1"/>
  <c r="CE80" i="1"/>
  <c r="CH79" i="1"/>
  <c r="BI79" i="1"/>
  <c r="BJ79" i="1"/>
  <c r="CC79" i="1"/>
  <c r="CV79" i="1"/>
  <c r="BK79" i="1"/>
  <c r="CD79" i="1"/>
  <c r="AB79" i="1"/>
  <c r="CH78" i="1"/>
  <c r="CI78" i="1" s="1"/>
  <c r="BI78" i="1"/>
  <c r="BJ78" i="1"/>
  <c r="CV78" i="1"/>
  <c r="BK78" i="1"/>
  <c r="CW78" i="1"/>
  <c r="AB78" i="1"/>
  <c r="CH77" i="1"/>
  <c r="CI77" i="1" s="1"/>
  <c r="BI77" i="1"/>
  <c r="BJ77" i="1"/>
  <c r="BK77" i="1"/>
  <c r="BL77" i="1"/>
  <c r="CB76" i="1"/>
  <c r="CH76" i="1"/>
  <c r="CI76" i="1" s="1"/>
  <c r="BI76" i="1"/>
  <c r="BJ76" i="1"/>
  <c r="CV76" i="1"/>
  <c r="CW76" i="1"/>
  <c r="BG75" i="1"/>
  <c r="CH75" i="1"/>
  <c r="BJ75" i="1"/>
  <c r="CC75" i="1"/>
  <c r="CV75" i="1"/>
  <c r="CD75" i="1"/>
  <c r="CW75" i="1"/>
  <c r="CB74" i="1"/>
  <c r="CI74" i="1"/>
  <c r="CH74" i="1"/>
  <c r="BI74" i="1"/>
  <c r="BJ74" i="1"/>
  <c r="CV74" i="1"/>
  <c r="BK74" i="1"/>
  <c r="AB74" i="1"/>
  <c r="CH73" i="1"/>
  <c r="BJ73" i="1"/>
  <c r="CV73" i="1"/>
  <c r="BK73" i="1"/>
  <c r="CH72" i="1"/>
  <c r="BI72" i="1"/>
  <c r="BJ72" i="1"/>
  <c r="CV72" i="1"/>
  <c r="CW72" i="1"/>
  <c r="BG71" i="1"/>
  <c r="CH71" i="1"/>
  <c r="BI71" i="1"/>
  <c r="BJ71" i="1"/>
  <c r="CC71" i="1"/>
  <c r="CV71" i="1"/>
  <c r="BK71" i="1"/>
  <c r="CD71" i="1"/>
  <c r="AB71" i="1"/>
  <c r="CB70" i="1"/>
  <c r="CH70" i="1"/>
  <c r="CI70" i="1" s="1"/>
  <c r="BI70" i="1"/>
  <c r="BJ70" i="1"/>
  <c r="CV70" i="1"/>
  <c r="CB69" i="1"/>
  <c r="CI69" i="1"/>
  <c r="BI69" i="1"/>
  <c r="BJ69" i="1"/>
  <c r="CC69" i="1"/>
  <c r="CD69" i="1"/>
  <c r="AB69" i="1"/>
  <c r="CE69" i="1"/>
  <c r="CB68" i="1"/>
  <c r="CI68" i="1"/>
  <c r="BH68" i="1"/>
  <c r="BI68" i="1"/>
  <c r="BJ68" i="1"/>
  <c r="CC68" i="1"/>
  <c r="CV68" i="1"/>
  <c r="BK68" i="1"/>
  <c r="CD68" i="1"/>
  <c r="AB68" i="1"/>
  <c r="BL68" i="1"/>
  <c r="CE68" i="1"/>
  <c r="CB67" i="1"/>
  <c r="CH67" i="1"/>
  <c r="CI67" i="1" s="1"/>
  <c r="BJ67" i="1"/>
  <c r="CC67" i="1"/>
  <c r="CV67" i="1"/>
  <c r="BK67" i="1"/>
  <c r="CD67" i="1"/>
  <c r="AB67" i="1"/>
  <c r="CB66" i="1"/>
  <c r="CI66" i="1"/>
  <c r="CH66" i="1"/>
  <c r="BI66" i="1"/>
  <c r="BJ66" i="1"/>
  <c r="CV66" i="1"/>
  <c r="BK66" i="1"/>
  <c r="CW66" i="1"/>
  <c r="AB66" i="1"/>
  <c r="BL66" i="1"/>
  <c r="CH65" i="1"/>
  <c r="BI65" i="1"/>
  <c r="BJ65" i="1"/>
  <c r="BK65" i="1"/>
  <c r="AB65" i="1"/>
  <c r="BL65" i="1"/>
  <c r="CH64" i="1"/>
  <c r="BI64" i="1"/>
  <c r="BJ64" i="1"/>
  <c r="BK64" i="1"/>
  <c r="AB64" i="1"/>
  <c r="BL64" i="1"/>
  <c r="CB63" i="1"/>
  <c r="BG63" i="1"/>
  <c r="CH63" i="1"/>
  <c r="CI63" i="1" s="1"/>
  <c r="BI63" i="1"/>
  <c r="BJ63" i="1"/>
  <c r="CC63" i="1"/>
  <c r="CV63" i="1"/>
  <c r="BK63" i="1"/>
  <c r="CD63" i="1"/>
  <c r="AB63" i="1"/>
  <c r="BL63" i="1"/>
  <c r="CE63" i="1"/>
  <c r="CB62" i="1"/>
  <c r="CH62" i="1"/>
  <c r="CI62" i="1" s="1"/>
  <c r="BI62" i="1"/>
  <c r="BJ62" i="1"/>
  <c r="CV62" i="1"/>
  <c r="BK62" i="1"/>
  <c r="CW62" i="1"/>
  <c r="AB62" i="1"/>
  <c r="BL62" i="1"/>
  <c r="BG61" i="1"/>
  <c r="BI61" i="1"/>
  <c r="BJ61" i="1"/>
  <c r="CV61" i="1"/>
  <c r="BK61" i="1"/>
  <c r="CW61" i="1"/>
  <c r="AB61" i="1"/>
  <c r="BG60" i="1"/>
  <c r="CH60" i="1"/>
  <c r="BJ60" i="1"/>
  <c r="CC60" i="1"/>
  <c r="CV60" i="1"/>
  <c r="CW60" i="1"/>
  <c r="BG59" i="1"/>
  <c r="BI59" i="1"/>
  <c r="BJ59" i="1"/>
  <c r="BK59" i="1"/>
  <c r="CD59" i="1"/>
  <c r="AB59" i="1"/>
  <c r="BL59" i="1"/>
  <c r="CE59" i="1"/>
  <c r="CB58" i="1"/>
  <c r="CI58" i="1"/>
  <c r="BI58" i="1"/>
  <c r="BJ58" i="1"/>
  <c r="CV58" i="1"/>
  <c r="BK58" i="1"/>
  <c r="CD58" i="1"/>
  <c r="AB58" i="1"/>
  <c r="BL58" i="1"/>
  <c r="CB57" i="1"/>
  <c r="CH57" i="1"/>
  <c r="CI57" i="1" s="1"/>
  <c r="BI57" i="1"/>
  <c r="BJ57" i="1"/>
  <c r="BK57" i="1"/>
  <c r="AB57" i="1"/>
  <c r="BL57" i="1"/>
  <c r="CB56" i="1"/>
  <c r="CH56" i="1"/>
  <c r="CI56" i="1" s="1"/>
  <c r="BI56" i="1"/>
  <c r="CC56" i="1"/>
  <c r="CV56" i="1"/>
  <c r="CD56" i="1"/>
  <c r="CW56" i="1"/>
  <c r="AB56" i="1"/>
  <c r="CE56" i="1"/>
  <c r="CH55" i="1"/>
  <c r="BJ55" i="1"/>
  <c r="CC55" i="1"/>
  <c r="CV55" i="1"/>
  <c r="CB54" i="1"/>
  <c r="CI54" i="1"/>
  <c r="BG54" i="1"/>
  <c r="BJ54" i="1"/>
  <c r="CC54" i="1"/>
  <c r="CV54" i="1"/>
  <c r="BK54" i="1"/>
  <c r="CD54" i="1"/>
  <c r="AB54" i="1"/>
  <c r="BL54" i="1"/>
  <c r="CE54" i="1"/>
  <c r="CH53" i="1"/>
  <c r="BI53" i="1"/>
  <c r="BJ53" i="1"/>
  <c r="CV53" i="1"/>
  <c r="BK53" i="1"/>
  <c r="AB53" i="1"/>
  <c r="BL53" i="1"/>
  <c r="CH52" i="1"/>
  <c r="BJ52" i="1"/>
  <c r="CV52" i="1"/>
  <c r="BK52" i="1"/>
  <c r="CB51" i="1"/>
  <c r="CH51" i="1"/>
  <c r="CI51" i="1" s="1"/>
  <c r="BJ51" i="1"/>
  <c r="CV51" i="1"/>
  <c r="BK51" i="1"/>
  <c r="CB50" i="1"/>
  <c r="CI50" i="1"/>
  <c r="BG50" i="1"/>
  <c r="BI50" i="1"/>
  <c r="BJ50" i="1"/>
  <c r="BK50" i="1"/>
  <c r="CD50" i="1"/>
  <c r="CB49" i="1"/>
  <c r="CI49" i="1"/>
  <c r="BI49" i="1"/>
  <c r="BJ49" i="1"/>
  <c r="BK49" i="1"/>
  <c r="CD49" i="1"/>
  <c r="AB49" i="1"/>
  <c r="BL49" i="1"/>
  <c r="CE49" i="1"/>
  <c r="CH48" i="1"/>
  <c r="BJ48" i="1"/>
  <c r="CC48" i="1"/>
  <c r="CV48" i="1"/>
  <c r="CW48" i="1"/>
  <c r="CH47" i="1"/>
  <c r="BI47" i="1"/>
  <c r="BJ47" i="1"/>
  <c r="CV47" i="1"/>
  <c r="BK47" i="1"/>
  <c r="CW47" i="1"/>
  <c r="AB47" i="1"/>
  <c r="BL47" i="1"/>
  <c r="CB46" i="1"/>
  <c r="CH46" i="1"/>
  <c r="CI46" i="1" s="1"/>
  <c r="BI46" i="1"/>
  <c r="BJ46" i="1"/>
  <c r="CC46" i="1"/>
  <c r="CV46" i="1"/>
  <c r="CB45" i="1"/>
  <c r="CI45" i="1"/>
  <c r="BG45" i="1"/>
  <c r="BI45" i="1"/>
  <c r="BJ45" i="1"/>
  <c r="BK45" i="1"/>
  <c r="CD45" i="1"/>
  <c r="AB45" i="1"/>
  <c r="BL45" i="1"/>
  <c r="CB44" i="1"/>
  <c r="CH44" i="1"/>
  <c r="BI44" i="1"/>
  <c r="BJ44" i="1"/>
  <c r="BK44" i="1"/>
  <c r="BL44" i="1"/>
  <c r="CB43" i="1"/>
  <c r="BG43" i="1"/>
  <c r="CH43" i="1"/>
  <c r="BI43" i="1"/>
  <c r="BJ43" i="1"/>
  <c r="CC43" i="1"/>
  <c r="CV43" i="1"/>
  <c r="BK43" i="1"/>
  <c r="CD43" i="1"/>
  <c r="CB42" i="1"/>
  <c r="BG42" i="1"/>
  <c r="CH42" i="1"/>
  <c r="CI42" i="1" s="1"/>
  <c r="BI42" i="1"/>
  <c r="BJ42" i="1"/>
  <c r="CC42" i="1"/>
  <c r="CV42" i="1"/>
  <c r="BK42" i="1"/>
  <c r="CD42" i="1"/>
  <c r="BG41" i="1"/>
  <c r="CH41" i="1"/>
  <c r="BJ41" i="1"/>
  <c r="CC41" i="1"/>
  <c r="CV41" i="1"/>
  <c r="CD41" i="1"/>
  <c r="AB41" i="1"/>
  <c r="BL41" i="1"/>
  <c r="CE41" i="1"/>
  <c r="CB40" i="1"/>
  <c r="BG40" i="1"/>
  <c r="CH40" i="1"/>
  <c r="CI40" i="1" s="1"/>
  <c r="BJ40" i="1"/>
  <c r="CC40" i="1"/>
  <c r="CV40" i="1"/>
  <c r="BK40" i="1"/>
  <c r="CD40" i="1"/>
  <c r="AB40" i="1"/>
  <c r="BN39" i="1"/>
  <c r="BO39" i="1" s="1"/>
  <c r="CH39" i="1"/>
  <c r="BI39" i="1"/>
  <c r="BJ39" i="1"/>
  <c r="CV39" i="1"/>
  <c r="BK39" i="1"/>
  <c r="CD39" i="1"/>
  <c r="AB39" i="1"/>
  <c r="BL39" i="1"/>
  <c r="BI38" i="1"/>
  <c r="BJ38" i="1"/>
  <c r="BK38" i="1"/>
  <c r="CD38" i="1"/>
  <c r="AB38" i="1"/>
  <c r="BL38" i="1"/>
  <c r="CB37" i="1"/>
  <c r="CH37" i="1"/>
  <c r="CI37" i="1" s="1"/>
  <c r="BJ37" i="1"/>
  <c r="CC37" i="1"/>
  <c r="CV37" i="1"/>
  <c r="BK37" i="1"/>
  <c r="CD37" i="1"/>
  <c r="AB37" i="1"/>
  <c r="CH36" i="1"/>
  <c r="BI36" i="1"/>
  <c r="BJ36" i="1"/>
  <c r="CV36" i="1"/>
  <c r="BK36" i="1"/>
  <c r="CW36" i="1"/>
  <c r="AB36" i="1"/>
  <c r="BL36" i="1"/>
  <c r="CB35" i="1"/>
  <c r="CH35" i="1"/>
  <c r="CI35" i="1" s="1"/>
  <c r="BI35" i="1"/>
  <c r="BJ35" i="1"/>
  <c r="BK35" i="1"/>
  <c r="AB35" i="1"/>
  <c r="CB34" i="1"/>
  <c r="BG34" i="1"/>
  <c r="CH34" i="1"/>
  <c r="CI34" i="1" s="1"/>
  <c r="BI34" i="1"/>
  <c r="BJ34" i="1"/>
  <c r="CC34" i="1"/>
  <c r="CV34" i="1"/>
  <c r="CW34" i="1"/>
  <c r="BG33" i="1"/>
  <c r="CH33" i="1"/>
  <c r="BJ33" i="1"/>
  <c r="CV33" i="1"/>
  <c r="BK33" i="1"/>
  <c r="CD33" i="1"/>
  <c r="AB33" i="1"/>
  <c r="BL33" i="1"/>
  <c r="CB32" i="1"/>
  <c r="CH32" i="1"/>
  <c r="CI32" i="1" s="1"/>
  <c r="BI32" i="1"/>
  <c r="BJ32" i="1"/>
  <c r="CV32" i="1"/>
  <c r="BK32" i="1"/>
  <c r="CW32" i="1"/>
  <c r="AB32" i="1"/>
  <c r="BL32" i="1"/>
  <c r="CB31" i="1"/>
  <c r="BG31" i="1"/>
  <c r="CH31" i="1"/>
  <c r="CI31" i="1" s="1"/>
  <c r="BJ31" i="1"/>
  <c r="CC31" i="1"/>
  <c r="CV31" i="1"/>
  <c r="BK31" i="1"/>
  <c r="CD31" i="1"/>
  <c r="CB30" i="1"/>
  <c r="CH30" i="1"/>
  <c r="BI30" i="1"/>
  <c r="BJ30" i="1"/>
  <c r="CC30" i="1"/>
  <c r="CV30" i="1"/>
  <c r="BK30" i="1"/>
  <c r="CD30" i="1"/>
  <c r="AB30" i="1"/>
  <c r="CB29" i="1"/>
  <c r="BJ29" i="1"/>
  <c r="CC29" i="1"/>
  <c r="CV29" i="1"/>
  <c r="BK29" i="1"/>
  <c r="CD29" i="1"/>
  <c r="AB29" i="1"/>
  <c r="BL29" i="1"/>
  <c r="CE29" i="1"/>
  <c r="CB28" i="1"/>
  <c r="CH28" i="1"/>
  <c r="CI28" i="1" s="1"/>
  <c r="BJ28" i="1"/>
  <c r="CC28" i="1"/>
  <c r="CV28" i="1"/>
  <c r="CW28" i="1"/>
  <c r="CB27" i="1"/>
  <c r="CI27" i="1"/>
  <c r="BG27" i="1"/>
  <c r="CH27" i="1"/>
  <c r="BI27" i="1"/>
  <c r="BJ27" i="1"/>
  <c r="CC27" i="1"/>
  <c r="CV27" i="1"/>
  <c r="BK27" i="1"/>
  <c r="CD27" i="1"/>
  <c r="CW27" i="1"/>
  <c r="CE27" i="1"/>
  <c r="CB26" i="1"/>
  <c r="BG26" i="1"/>
  <c r="CH26" i="1"/>
  <c r="CI26" i="1" s="1"/>
  <c r="BJ26" i="1"/>
  <c r="CC26" i="1"/>
  <c r="CV26" i="1"/>
  <c r="CB25" i="1"/>
  <c r="CH25" i="1"/>
  <c r="CI25" i="1" s="1"/>
  <c r="BJ25" i="1"/>
  <c r="CC25" i="1"/>
  <c r="CV25" i="1"/>
  <c r="BK25" i="1"/>
  <c r="BG24" i="1"/>
  <c r="CH24" i="1"/>
  <c r="BI24" i="1"/>
  <c r="BJ24" i="1"/>
  <c r="CC24" i="1"/>
  <c r="CV24" i="1"/>
  <c r="BK24" i="1"/>
  <c r="CD24" i="1"/>
  <c r="AB24" i="1"/>
  <c r="BL24" i="1"/>
  <c r="CE24" i="1"/>
  <c r="CH23" i="1"/>
  <c r="CI23" i="1" s="1"/>
  <c r="BI23" i="1"/>
  <c r="BJ23" i="1"/>
  <c r="CV23" i="1"/>
  <c r="BK23" i="1"/>
  <c r="CW23" i="1"/>
  <c r="AB23" i="1"/>
  <c r="BL23" i="1"/>
  <c r="BH22" i="1"/>
  <c r="BJ22" i="1"/>
  <c r="CC22" i="1"/>
  <c r="CV22" i="1"/>
  <c r="BK22" i="1"/>
  <c r="CD22" i="1"/>
  <c r="AB22" i="1"/>
  <c r="BL22" i="1"/>
  <c r="CE22" i="1"/>
  <c r="CB21" i="1"/>
  <c r="CI21" i="1"/>
  <c r="BG21" i="1"/>
  <c r="BI21" i="1"/>
  <c r="BJ21" i="1"/>
  <c r="CC21" i="1"/>
  <c r="CV21" i="1"/>
  <c r="BK21" i="1"/>
  <c r="CD21" i="1"/>
  <c r="AB21" i="1"/>
  <c r="BL21" i="1"/>
  <c r="CE21" i="1"/>
  <c r="CH20" i="1"/>
  <c r="BI20" i="1"/>
  <c r="BJ20" i="1"/>
  <c r="CV20" i="1"/>
  <c r="BK20" i="1"/>
  <c r="CW20" i="1"/>
  <c r="AB20" i="1"/>
  <c r="BL20" i="1"/>
  <c r="CB19" i="1"/>
  <c r="CI19" i="1"/>
  <c r="BI19" i="1"/>
  <c r="BJ19" i="1"/>
  <c r="CV19" i="1"/>
  <c r="BK19" i="1"/>
  <c r="CW19" i="1"/>
  <c r="AB19" i="1"/>
  <c r="CB18" i="1"/>
  <c r="CH18" i="1"/>
  <c r="CI18" i="1" s="1"/>
  <c r="CC18" i="1"/>
  <c r="CV18" i="1"/>
  <c r="CD18" i="1"/>
  <c r="CW18" i="1"/>
  <c r="AB18" i="1"/>
  <c r="CE18" i="1"/>
  <c r="CB17" i="1"/>
  <c r="CH17" i="1"/>
  <c r="CI17" i="1" s="1"/>
  <c r="BI17" i="1"/>
  <c r="BJ17" i="1"/>
  <c r="CC17" i="1"/>
  <c r="CV17" i="1"/>
  <c r="CW17" i="1"/>
  <c r="BG16" i="1"/>
  <c r="CH16" i="1"/>
  <c r="BJ16" i="1"/>
  <c r="CC16" i="1"/>
  <c r="CV16" i="1"/>
  <c r="CD16" i="1"/>
  <c r="CW16" i="1"/>
  <c r="CB15" i="1"/>
  <c r="CH15" i="1"/>
  <c r="CI15" i="1" s="1"/>
  <c r="BJ15" i="1"/>
  <c r="CC15" i="1"/>
  <c r="CV15" i="1"/>
  <c r="BK15" i="1"/>
  <c r="CH14" i="1"/>
  <c r="BI14" i="1"/>
  <c r="BJ14" i="1"/>
  <c r="CV14" i="1"/>
  <c r="CB13" i="1"/>
  <c r="BG13" i="1"/>
  <c r="CH13" i="1"/>
  <c r="CI13" i="1" s="1"/>
  <c r="BI13" i="1"/>
  <c r="BJ13" i="1"/>
  <c r="CV13" i="1"/>
  <c r="BK13" i="1"/>
  <c r="CW13" i="1"/>
  <c r="CB12" i="1"/>
  <c r="CI12" i="1"/>
  <c r="BI12" i="1"/>
  <c r="BJ12" i="1"/>
  <c r="CC12" i="1"/>
  <c r="CD12" i="1"/>
  <c r="AB12" i="1"/>
  <c r="CE12" i="1"/>
  <c r="CH11" i="1"/>
  <c r="BI11" i="1"/>
  <c r="BJ11" i="1"/>
  <c r="CC11" i="1"/>
  <c r="CV11" i="1"/>
  <c r="BK11" i="1"/>
  <c r="CD11" i="1"/>
  <c r="AB11" i="1"/>
  <c r="CE11" i="1"/>
  <c r="CB10" i="1"/>
  <c r="BG10" i="1"/>
  <c r="BI10" i="1"/>
  <c r="BJ10" i="1"/>
  <c r="CC10" i="1"/>
  <c r="CV10" i="1"/>
  <c r="BK10" i="1"/>
  <c r="CD10" i="1"/>
  <c r="CW10" i="1"/>
  <c r="BL10" i="1"/>
  <c r="CE10" i="1"/>
  <c r="BI9" i="1"/>
  <c r="BJ9" i="1"/>
  <c r="CC9" i="1"/>
  <c r="CV9" i="1"/>
  <c r="BK9" i="1"/>
  <c r="CD9" i="1"/>
  <c r="AB9" i="1"/>
  <c r="BL9" i="1"/>
  <c r="CE9" i="1"/>
  <c r="CB8" i="1"/>
  <c r="CH8" i="1"/>
  <c r="CI8" i="1" s="1"/>
  <c r="BI8" i="1"/>
  <c r="BJ8" i="1"/>
  <c r="CV8" i="1"/>
  <c r="BK8" i="1"/>
  <c r="CW8" i="1"/>
  <c r="AB8" i="1"/>
  <c r="BL8" i="1"/>
  <c r="CH7" i="1"/>
  <c r="BI7" i="1"/>
  <c r="BJ7" i="1"/>
  <c r="CV7" i="1"/>
  <c r="BK7" i="1"/>
  <c r="CD7" i="1"/>
  <c r="CW7" i="1"/>
  <c r="AB7" i="1"/>
  <c r="BL7" i="1"/>
  <c r="CH6" i="1"/>
  <c r="BI6" i="1"/>
  <c r="BJ6" i="1"/>
  <c r="CV6" i="1"/>
  <c r="BK6" i="1"/>
  <c r="CW6" i="1"/>
  <c r="AB6" i="1"/>
  <c r="BL6" i="1"/>
  <c r="BG5" i="1"/>
  <c r="CH5" i="1"/>
  <c r="BI5" i="1"/>
  <c r="BJ5" i="1"/>
  <c r="CV5" i="1"/>
  <c r="BK5" i="1"/>
  <c r="CB4" i="1"/>
  <c r="CH4" i="1"/>
  <c r="CI4" i="1" s="1"/>
  <c r="BI4" i="1"/>
  <c r="BJ4" i="1"/>
  <c r="BK4" i="1"/>
  <c r="AB4" i="1"/>
  <c r="BL4" i="1"/>
  <c r="CB3" i="1"/>
  <c r="CH3" i="1"/>
  <c r="CI3" i="1" s="1"/>
  <c r="BI3" i="1"/>
  <c r="BJ3" i="1"/>
  <c r="BK3" i="1"/>
  <c r="AB3" i="1"/>
  <c r="BL3" i="1"/>
  <c r="CB80" i="1" l="1"/>
  <c r="CI80" i="1"/>
  <c r="CB100" i="1"/>
  <c r="CI100" i="1"/>
  <c r="CB38" i="1"/>
  <c r="CI38" i="1"/>
  <c r="CB22" i="1"/>
  <c r="CI22" i="1"/>
  <c r="CI20" i="1"/>
  <c r="CB20" i="1"/>
  <c r="CB7" i="1"/>
  <c r="CI7" i="1"/>
  <c r="CB48" i="1"/>
  <c r="CI48" i="1"/>
  <c r="CB52" i="1"/>
  <c r="CI52" i="1"/>
  <c r="CB84" i="1"/>
  <c r="CI84" i="1"/>
  <c r="CI5" i="1"/>
  <c r="CB5" i="1"/>
  <c r="CB91" i="1"/>
  <c r="CI91" i="1"/>
  <c r="CI36" i="1"/>
  <c r="BO101" i="1"/>
  <c r="CB101" i="1" s="1"/>
  <c r="CI43" i="1"/>
  <c r="CB59" i="1"/>
  <c r="CI71" i="1"/>
  <c r="BO71" i="1"/>
  <c r="CB71" i="1" s="1"/>
  <c r="CI92" i="1"/>
  <c r="CI33" i="1"/>
  <c r="CI64" i="1"/>
  <c r="CI79" i="1"/>
  <c r="BO73" i="1"/>
  <c r="CB73" i="1" s="1"/>
  <c r="CI9" i="1"/>
  <c r="CI53" i="1"/>
  <c r="CI55" i="1"/>
  <c r="CI82" i="1"/>
  <c r="CI83" i="1"/>
  <c r="BO81" i="1"/>
  <c r="CB81" i="1" s="1"/>
  <c r="BO72" i="1"/>
  <c r="BO94" i="1"/>
  <c r="CI24" i="1"/>
  <c r="CI60" i="1"/>
  <c r="CI73" i="1"/>
  <c r="CI99" i="1"/>
  <c r="CI101" i="1"/>
  <c r="BO14" i="1"/>
  <c r="CI6" i="1"/>
  <c r="CI16" i="1"/>
  <c r="CI41" i="1"/>
  <c r="CI75" i="1"/>
  <c r="CI97" i="1"/>
  <c r="BO61" i="1"/>
  <c r="BO65" i="1"/>
  <c r="BO11" i="1"/>
  <c r="CB11" i="1" s="1"/>
  <c r="BO87" i="1"/>
  <c r="BO47" i="1"/>
  <c r="BO97" i="1"/>
  <c r="CB97" i="1" s="1"/>
  <c r="BO90" i="1"/>
  <c r="CB90" i="1" s="1"/>
  <c r="CB88" i="1"/>
  <c r="CI88" i="1"/>
  <c r="CB39" i="1"/>
  <c r="CI39" i="1"/>
  <c r="CB65" i="1" l="1"/>
  <c r="CI65" i="1"/>
  <c r="CI90" i="1"/>
  <c r="CI61" i="1"/>
  <c r="CB61" i="1"/>
  <c r="CI11" i="1"/>
  <c r="CB94" i="1"/>
  <c r="CI94" i="1"/>
  <c r="CB47" i="1"/>
  <c r="CI47" i="1"/>
  <c r="CB87" i="1"/>
  <c r="CI87" i="1"/>
  <c r="CB72" i="1"/>
  <c r="CI72" i="1"/>
  <c r="CB14" i="1"/>
  <c r="CI14" i="1"/>
  <c r="CI81" i="1"/>
</calcChain>
</file>

<file path=xl/sharedStrings.xml><?xml version="1.0" encoding="utf-8"?>
<sst xmlns="http://schemas.openxmlformats.org/spreadsheetml/2006/main" count="817" uniqueCount="546">
  <si>
    <t>Artemi</t>
  </si>
  <si>
    <t>Panarin</t>
  </si>
  <si>
    <t>CHI</t>
  </si>
  <si>
    <t>LW</t>
  </si>
  <si>
    <t xml:space="preserve"> </t>
  </si>
  <si>
    <t>ARTEMIPANARIN</t>
  </si>
  <si>
    <t>Artemi.Panarin</t>
  </si>
  <si>
    <t>First Name</t>
  </si>
  <si>
    <t>Last Name</t>
  </si>
  <si>
    <t>End Team</t>
  </si>
  <si>
    <t>Pos</t>
  </si>
  <si>
    <t>GP</t>
  </si>
  <si>
    <t>ESG</t>
  </si>
  <si>
    <t>ESA</t>
  </si>
  <si>
    <t>ESP</t>
  </si>
  <si>
    <t>ESP/60</t>
  </si>
  <si>
    <t>55G</t>
  </si>
  <si>
    <t>55A1</t>
  </si>
  <si>
    <t>55A2</t>
  </si>
  <si>
    <t>ESShot</t>
  </si>
  <si>
    <t>ESMiss</t>
  </si>
  <si>
    <t>ESBlked</t>
  </si>
  <si>
    <t>ESChances</t>
  </si>
  <si>
    <t>ESSh%</t>
  </si>
  <si>
    <t>ESCoSH%</t>
  </si>
  <si>
    <t>ESTOI</t>
  </si>
  <si>
    <t>ESTOI/G</t>
  </si>
  <si>
    <t>55TOI</t>
  </si>
  <si>
    <t>55TOI/G</t>
  </si>
  <si>
    <t>55TOF</t>
  </si>
  <si>
    <t>55TOF/G</t>
  </si>
  <si>
    <t>ES%</t>
  </si>
  <si>
    <t>ESPass</t>
  </si>
  <si>
    <t>ESBlk</t>
  </si>
  <si>
    <t>ESHitF</t>
  </si>
  <si>
    <t>ESHitA</t>
  </si>
  <si>
    <t>ESGive</t>
  </si>
  <si>
    <t>ESTake</t>
  </si>
  <si>
    <t>ESIGP</t>
  </si>
  <si>
    <t>ESIAP</t>
  </si>
  <si>
    <t>ESIPP</t>
  </si>
  <si>
    <t>ESOZFO</t>
  </si>
  <si>
    <t>ESOZ%</t>
  </si>
  <si>
    <t>ESDZFO</t>
  </si>
  <si>
    <t>ESDZ%</t>
  </si>
  <si>
    <t>ESNZFO</t>
  </si>
  <si>
    <t>ESNZ%</t>
  </si>
  <si>
    <t>OZ%</t>
  </si>
  <si>
    <t>OZRk</t>
  </si>
  <si>
    <t>RelOZ%</t>
  </si>
  <si>
    <t>T-QoC</t>
  </si>
  <si>
    <t>T-QoC Rk</t>
  </si>
  <si>
    <t>RCQoC</t>
  </si>
  <si>
    <t>QoCRk</t>
  </si>
  <si>
    <t xml:space="preserve">CQoC </t>
  </si>
  <si>
    <t>Cor%QoC</t>
  </si>
  <si>
    <t>T-QoT</t>
  </si>
  <si>
    <t>RCQoT</t>
  </si>
  <si>
    <t xml:space="preserve">CQoT </t>
  </si>
  <si>
    <t>Cor%QoT</t>
  </si>
  <si>
    <t>ESOISH%</t>
  </si>
  <si>
    <t>ESOISV%</t>
  </si>
  <si>
    <t>PDO</t>
  </si>
  <si>
    <t>SPD</t>
  </si>
  <si>
    <t>TmESGF/60</t>
  </si>
  <si>
    <t>TmESGA/60</t>
  </si>
  <si>
    <t>TmESSF/60</t>
  </si>
  <si>
    <t>TmESSA/60</t>
  </si>
  <si>
    <t>TmESCF/60</t>
  </si>
  <si>
    <t>TmESCA/60</t>
  </si>
  <si>
    <t>Corsi</t>
  </si>
  <si>
    <t>TmESGF</t>
  </si>
  <si>
    <t>TmESGA</t>
  </si>
  <si>
    <t>TmESSVA</t>
  </si>
  <si>
    <t>TmESSVF</t>
  </si>
  <si>
    <t>TmESMF</t>
  </si>
  <si>
    <t>TmESMA</t>
  </si>
  <si>
    <t>TmESBA</t>
  </si>
  <si>
    <t>TmESBF</t>
  </si>
  <si>
    <t>TmESSCF`</t>
  </si>
  <si>
    <t>TmESSCA</t>
  </si>
  <si>
    <t>ESSC%</t>
  </si>
  <si>
    <t>ESRelSC%</t>
  </si>
  <si>
    <t>Adj Corsi</t>
  </si>
  <si>
    <t>oTmESGF/60</t>
  </si>
  <si>
    <t>oTmESGA/60</t>
  </si>
  <si>
    <t>oTmESSF/60</t>
  </si>
  <si>
    <t>oTmESSA/60</t>
  </si>
  <si>
    <t>oTmESCF/60</t>
  </si>
  <si>
    <t>oTmESCA/60</t>
  </si>
  <si>
    <t>RelC</t>
  </si>
  <si>
    <t>AltTOff</t>
  </si>
  <si>
    <t>oTmESGF</t>
  </si>
  <si>
    <t>oTmESGA</t>
  </si>
  <si>
    <t>oTmESSVA</t>
  </si>
  <si>
    <t>oTmESSVF</t>
  </si>
  <si>
    <t>oTmESMF</t>
  </si>
  <si>
    <t>oTmESMA</t>
  </si>
  <si>
    <t>oTmESBA</t>
  </si>
  <si>
    <t>oTmESBF</t>
  </si>
  <si>
    <t>ESPenT</t>
  </si>
  <si>
    <t>ESPenD</t>
  </si>
  <si>
    <t>ESPPD</t>
  </si>
  <si>
    <t>ESPenT/60</t>
  </si>
  <si>
    <t>ESPenD/60</t>
  </si>
  <si>
    <t>ESPPD/60</t>
  </si>
  <si>
    <t>ExpGF</t>
  </si>
  <si>
    <t>ExpGA</t>
  </si>
  <si>
    <t>TmGFOff</t>
  </si>
  <si>
    <t>TmGAOff</t>
  </si>
  <si>
    <t>TmExpGFOff</t>
  </si>
  <si>
    <t>TmExpGAOff</t>
  </si>
  <si>
    <t>ESFOW</t>
  </si>
  <si>
    <t>ESFOL</t>
  </si>
  <si>
    <t>ESFO%</t>
  </si>
  <si>
    <t>NGPF</t>
  </si>
  <si>
    <t>NSAPF</t>
  </si>
  <si>
    <t>ESOffFOT</t>
  </si>
  <si>
    <t>ESNeutFOT</t>
  </si>
  <si>
    <t>ESDefFOT</t>
  </si>
  <si>
    <t>BTN Code</t>
  </si>
  <si>
    <t>WOI Code</t>
  </si>
  <si>
    <t>Jack</t>
  </si>
  <si>
    <t>Eichel</t>
  </si>
  <si>
    <t>BUF</t>
  </si>
  <si>
    <t>C</t>
  </si>
  <si>
    <t>JACKEICHEL</t>
  </si>
  <si>
    <t>Jack.Eichel</t>
  </si>
  <si>
    <t>Max</t>
  </si>
  <si>
    <t>Domi</t>
  </si>
  <si>
    <t>ARI</t>
  </si>
  <si>
    <t>LW/C</t>
  </si>
  <si>
    <t>MAXDOMI</t>
  </si>
  <si>
    <t>Max.Domi</t>
  </si>
  <si>
    <t>Connor</t>
  </si>
  <si>
    <t>McDavid</t>
  </si>
  <si>
    <t>EDM</t>
  </si>
  <si>
    <t>CONNORMCDAVID</t>
  </si>
  <si>
    <t>Connor.McDavid</t>
  </si>
  <si>
    <t>Shayne</t>
  </si>
  <si>
    <t>Gostisbehere</t>
  </si>
  <si>
    <t>PHI</t>
  </si>
  <si>
    <t>D</t>
  </si>
  <si>
    <t>SHAYNEGOSTISBEHERE</t>
  </si>
  <si>
    <t>Shayne.Gostisbehere</t>
  </si>
  <si>
    <t>Dylan</t>
  </si>
  <si>
    <t>Larkin</t>
  </si>
  <si>
    <t>DET</t>
  </si>
  <si>
    <t>DYLANLARKIN</t>
  </si>
  <si>
    <t>Dylan.Larkin</t>
  </si>
  <si>
    <t>Anthony</t>
  </si>
  <si>
    <t>Duclair</t>
  </si>
  <si>
    <t>LW/RW</t>
  </si>
  <si>
    <t>ANTHONYDUCLAIR</t>
  </si>
  <si>
    <t>Anthony.Duclair</t>
  </si>
  <si>
    <t>Sam</t>
  </si>
  <si>
    <t>Reinhart</t>
  </si>
  <si>
    <t>C/RW</t>
  </si>
  <si>
    <t>SAMREINHART</t>
  </si>
  <si>
    <t>Sam.Reinhart</t>
  </si>
  <si>
    <t>Nikolaj</t>
  </si>
  <si>
    <t>Ehlers</t>
  </si>
  <si>
    <t>WPG</t>
  </si>
  <si>
    <t>RW/LW</t>
  </si>
  <si>
    <t>NIKOLAJEHLERS</t>
  </si>
  <si>
    <t>Nikolaj.Ehlers</t>
  </si>
  <si>
    <t>Robby</t>
  </si>
  <si>
    <t>Fabbri</t>
  </si>
  <si>
    <t>STL</t>
  </si>
  <si>
    <t>ROBBYFABBRI</t>
  </si>
  <si>
    <t>Robby.Fabbri</t>
  </si>
  <si>
    <t>Bennett</t>
  </si>
  <si>
    <t>CGY</t>
  </si>
  <si>
    <t>SAMBENNETT</t>
  </si>
  <si>
    <t>Sam.Bennett</t>
  </si>
  <si>
    <t>Joonas</t>
  </si>
  <si>
    <t>Donskoi</t>
  </si>
  <si>
    <t>SJS</t>
  </si>
  <si>
    <t>JOONASDONSKOI</t>
  </si>
  <si>
    <t>Joonas.Donskoi</t>
  </si>
  <si>
    <t>Colton</t>
  </si>
  <si>
    <t>Parayko</t>
  </si>
  <si>
    <t>COLTONPARAYKO</t>
  </si>
  <si>
    <t>Colton.Parayko</t>
  </si>
  <si>
    <t>Mattias</t>
  </si>
  <si>
    <t>Janmark</t>
  </si>
  <si>
    <t>DAL</t>
  </si>
  <si>
    <t>MAGNUSJANMARK-NYLEN</t>
  </si>
  <si>
    <t>Mattias.Janmark-Nylen</t>
  </si>
  <si>
    <t>Oscar</t>
  </si>
  <si>
    <t>Lindberg</t>
  </si>
  <si>
    <t>NYR</t>
  </si>
  <si>
    <t>OSCARLINDBERG</t>
  </si>
  <si>
    <t>Oscar.Lindberg</t>
  </si>
  <si>
    <t>Ben</t>
  </si>
  <si>
    <t>Hutton</t>
  </si>
  <si>
    <t>VAN</t>
  </si>
  <si>
    <t>BENHUTTON</t>
  </si>
  <si>
    <t>Ben.Hutton</t>
  </si>
  <si>
    <t>Jordan</t>
  </si>
  <si>
    <t>Martinook</t>
  </si>
  <si>
    <t>JORDANMARTINOOK</t>
  </si>
  <si>
    <t>Jordan.Martinook</t>
  </si>
  <si>
    <t>Noah</t>
  </si>
  <si>
    <t>Hanifin</t>
  </si>
  <si>
    <t>CAR</t>
  </si>
  <si>
    <t>NOAHHANIFIN</t>
  </si>
  <si>
    <t>Noah.Hanifin</t>
  </si>
  <si>
    <t>William</t>
  </si>
  <si>
    <t>Karlsson</t>
  </si>
  <si>
    <t>CBJ</t>
  </si>
  <si>
    <t>WILLIAMKARLSSON</t>
  </si>
  <si>
    <t>William.Karlsson</t>
  </si>
  <si>
    <t>Jaccob</t>
  </si>
  <si>
    <t>Slavin</t>
  </si>
  <si>
    <t>JACCOBSLAVIN</t>
  </si>
  <si>
    <t>Jaccob.Slavin</t>
  </si>
  <si>
    <t>Jared</t>
  </si>
  <si>
    <t>McCann</t>
  </si>
  <si>
    <t>JAREDMCCANN</t>
  </si>
  <si>
    <t>Jared.McCann</t>
  </si>
  <si>
    <t>Jonathan</t>
  </si>
  <si>
    <t>Marchessault</t>
  </si>
  <si>
    <t>TBL</t>
  </si>
  <si>
    <t>C/N</t>
  </si>
  <si>
    <t>JONATHANMARCHESSAULT</t>
  </si>
  <si>
    <t>Jonathan.Marchessault</t>
  </si>
  <si>
    <t>Sven</t>
  </si>
  <si>
    <t>Andrighetto</t>
  </si>
  <si>
    <t>MTL</t>
  </si>
  <si>
    <t>SVENANDRIGHETTO</t>
  </si>
  <si>
    <t>Sven.Andrighetto</t>
  </si>
  <si>
    <t>Phillip</t>
  </si>
  <si>
    <t>Di Giuseppe</t>
  </si>
  <si>
    <t>PHILDIGIUSEPPE</t>
  </si>
  <si>
    <t>Phillip.Di.Giuseppe</t>
  </si>
  <si>
    <t>Shane</t>
  </si>
  <si>
    <t>Prince</t>
  </si>
  <si>
    <t>NYI</t>
  </si>
  <si>
    <t>C/LW</t>
  </si>
  <si>
    <t>SHANEPRINCE</t>
  </si>
  <si>
    <t>Shane.Prince</t>
  </si>
  <si>
    <t>Joseph</t>
  </si>
  <si>
    <t>Blandisi</t>
  </si>
  <si>
    <t>NJD</t>
  </si>
  <si>
    <t>LW/RW/C</t>
  </si>
  <si>
    <t>JOSEPHBLANDISI</t>
  </si>
  <si>
    <t>Joseph.Blandisi</t>
  </si>
  <si>
    <t>Viktor</t>
  </si>
  <si>
    <t>Arvidsson</t>
  </si>
  <si>
    <t>NSH</t>
  </si>
  <si>
    <t>VIKTORARVIDSSON</t>
  </si>
  <si>
    <t>Viktor.Arvidsson</t>
  </si>
  <si>
    <t>Brett</t>
  </si>
  <si>
    <t>Pesce</t>
  </si>
  <si>
    <t>BRETTPESCE</t>
  </si>
  <si>
    <t>Brett.Pesce</t>
  </si>
  <si>
    <t>Colin</t>
  </si>
  <si>
    <t>Miller</t>
  </si>
  <si>
    <t>BOS</t>
  </si>
  <si>
    <t>COLINMILLER</t>
  </si>
  <si>
    <t>Colin.Miller</t>
  </si>
  <si>
    <t>Sergey</t>
  </si>
  <si>
    <t>Kalinin</t>
  </si>
  <si>
    <t>SERGEYKALININ</t>
  </si>
  <si>
    <t>Sergey.Kalinin</t>
  </si>
  <si>
    <t>Tom</t>
  </si>
  <si>
    <t>Kuhnhackl</t>
  </si>
  <si>
    <t>PIT</t>
  </si>
  <si>
    <t>TOMKUEHNHACKL</t>
  </si>
  <si>
    <t>Tom.Kuhnhackl</t>
  </si>
  <si>
    <t>Andreas</t>
  </si>
  <si>
    <t>Athanasiou</t>
  </si>
  <si>
    <t>ANDREASATHANASIOU</t>
  </si>
  <si>
    <t>Andreas.Athanasiou</t>
  </si>
  <si>
    <t>Jake</t>
  </si>
  <si>
    <t>McCabe</t>
  </si>
  <si>
    <t>JAKEMCCABE</t>
  </si>
  <si>
    <t>Jake.McCabe</t>
  </si>
  <si>
    <t>Trevor</t>
  </si>
  <si>
    <t>van Riemsdyk</t>
  </si>
  <si>
    <t>TREVORVANRIEMSDYK</t>
  </si>
  <si>
    <t>Trevor.van.Riemsdyk</t>
  </si>
  <si>
    <t>Erik</t>
  </si>
  <si>
    <t>Gustafsson</t>
  </si>
  <si>
    <t>ERIKGUSTAFSSON</t>
  </si>
  <si>
    <t>Erik.Gustafsson</t>
  </si>
  <si>
    <t>Andrew</t>
  </si>
  <si>
    <t>Copp</t>
  </si>
  <si>
    <t>ANDREWCOPP</t>
  </si>
  <si>
    <t>Andrew.Copp</t>
  </si>
  <si>
    <t>Virtanen</t>
  </si>
  <si>
    <t>JAKEVIRTANEN</t>
  </si>
  <si>
    <t>Jake.Virtanen</t>
  </si>
  <si>
    <t>Nylander</t>
  </si>
  <si>
    <t>TOR</t>
  </si>
  <si>
    <t>WILLIAMNYLANDER</t>
  </si>
  <si>
    <t>William.Nylander</t>
  </si>
  <si>
    <t>Chris</t>
  </si>
  <si>
    <t>Wideman</t>
  </si>
  <si>
    <t>OTT</t>
  </si>
  <si>
    <t>CHRISWIDEMAN</t>
  </si>
  <si>
    <t>Chris.Wideman</t>
  </si>
  <si>
    <t>Iiro</t>
  </si>
  <si>
    <t>Pakarinen</t>
  </si>
  <si>
    <t>IIROPAKARINEN</t>
  </si>
  <si>
    <t>Iiro.Pakarinen</t>
  </si>
  <si>
    <t>Radek</t>
  </si>
  <si>
    <t>Faksa</t>
  </si>
  <si>
    <t>RADEKFAKSA</t>
  </si>
  <si>
    <t>Radek.Faksa</t>
  </si>
  <si>
    <t>Frank</t>
  </si>
  <si>
    <t>Vatrano</t>
  </si>
  <si>
    <t>FRANKVATRANO</t>
  </si>
  <si>
    <t>Frank.Vatrano</t>
  </si>
  <si>
    <t>Nick</t>
  </si>
  <si>
    <t>Cousins</t>
  </si>
  <si>
    <t>NICKCOUSINS</t>
  </si>
  <si>
    <t>Nick.Cousins</t>
  </si>
  <si>
    <t>Bryan</t>
  </si>
  <si>
    <t>Rust</t>
  </si>
  <si>
    <t>RW</t>
  </si>
  <si>
    <t>BRYANRUST</t>
  </si>
  <si>
    <t>Bryan.Rust</t>
  </si>
  <si>
    <t>Brandon</t>
  </si>
  <si>
    <t>Davidson</t>
  </si>
  <si>
    <t>BRANDONDAVIDSON</t>
  </si>
  <si>
    <t>Brandon.Davidson</t>
  </si>
  <si>
    <t>Martinsen</t>
  </si>
  <si>
    <t>COL</t>
  </si>
  <si>
    <t>ANDREASMARTINSEN</t>
  </si>
  <si>
    <t>Andreas.Martinsen</t>
  </si>
  <si>
    <t>Alexey</t>
  </si>
  <si>
    <t>Marchenko</t>
  </si>
  <si>
    <t>ALEXEYMARCHENKO</t>
  </si>
  <si>
    <t>Alexey.Marchenko</t>
  </si>
  <si>
    <t>Andy</t>
  </si>
  <si>
    <t>Andreoff</t>
  </si>
  <si>
    <t>LAK</t>
  </si>
  <si>
    <t>ANDYANDREOFF</t>
  </si>
  <si>
    <t>Andy.Andreoff</t>
  </si>
  <si>
    <t>Conor</t>
  </si>
  <si>
    <t>Sheary</t>
  </si>
  <si>
    <t>CONORSHEARY</t>
  </si>
  <si>
    <t>Conor.Sheary</t>
  </si>
  <si>
    <t>Miikka</t>
  </si>
  <si>
    <t>Salomaki</t>
  </si>
  <si>
    <t>MIIKKASALOMAKI</t>
  </si>
  <si>
    <t>Miikka.Salomaki</t>
  </si>
  <si>
    <t>Landon</t>
  </si>
  <si>
    <t>Ferraro</t>
  </si>
  <si>
    <t>LANDONFERRARO</t>
  </si>
  <si>
    <t>Landon.Ferraro</t>
  </si>
  <si>
    <t>Danault</t>
  </si>
  <si>
    <t>PHILLIPDANAULT</t>
  </si>
  <si>
    <t>Phillip.Danault</t>
  </si>
  <si>
    <t>Joel</t>
  </si>
  <si>
    <t>Armia</t>
  </si>
  <si>
    <t>JOELARMIA</t>
  </si>
  <si>
    <t>Joel.Armia</t>
  </si>
  <si>
    <t>Darnell</t>
  </si>
  <si>
    <t>Nurse</t>
  </si>
  <si>
    <t>DARNELLNURSE</t>
  </si>
  <si>
    <t>Darnell.Nurse</t>
  </si>
  <si>
    <t>Austin</t>
  </si>
  <si>
    <t>Watson</t>
  </si>
  <si>
    <t>LW/C/RW</t>
  </si>
  <si>
    <t>AUSTINWATSON</t>
  </si>
  <si>
    <t>Austin.Watson</t>
  </si>
  <si>
    <t>Daniel</t>
  </si>
  <si>
    <t>Carr</t>
  </si>
  <si>
    <t>DANIELCARR</t>
  </si>
  <si>
    <t>Daniel.Carr</t>
  </si>
  <si>
    <t>Dennis</t>
  </si>
  <si>
    <t>Rasmussen</t>
  </si>
  <si>
    <t>DENNISRASMUSSEN</t>
  </si>
  <si>
    <t>Dennis.Rasmussen</t>
  </si>
  <si>
    <t>Ryan</t>
  </si>
  <si>
    <t>Dzingel</t>
  </si>
  <si>
    <t>RYANDZINGEL</t>
  </si>
  <si>
    <t>Ryan.Dzingel</t>
  </si>
  <si>
    <t>Kerby</t>
  </si>
  <si>
    <t>Rychel</t>
  </si>
  <si>
    <t>KERBYRYCHEL</t>
  </si>
  <si>
    <t>Kerby.Rychel</t>
  </si>
  <si>
    <t>Edmundson</t>
  </si>
  <si>
    <t>JOELEDMUNDSON</t>
  </si>
  <si>
    <t>Joel.Edmundson</t>
  </si>
  <si>
    <t>Oliver</t>
  </si>
  <si>
    <t>Bjorkstrand</t>
  </si>
  <si>
    <t>OLIVERBJORKSTRAND</t>
  </si>
  <si>
    <t>Oliver.Bjorkstrand</t>
  </si>
  <si>
    <t>Shea</t>
  </si>
  <si>
    <t>Theodore</t>
  </si>
  <si>
    <t>ANA</t>
  </si>
  <si>
    <t>SHEATHEODORE</t>
  </si>
  <si>
    <t>Shea.Theodore</t>
  </si>
  <si>
    <t>Klas</t>
  </si>
  <si>
    <t>Dahlbeck</t>
  </si>
  <si>
    <t>KLASDAHLBECK</t>
  </si>
  <si>
    <t>Klas.Dahlbeck</t>
  </si>
  <si>
    <t>Logan</t>
  </si>
  <si>
    <t>Shaw</t>
  </si>
  <si>
    <t>FLA</t>
  </si>
  <si>
    <t>LOGANSHAW</t>
  </si>
  <si>
    <t>Logan.Shaw</t>
  </si>
  <si>
    <t>Corban</t>
  </si>
  <si>
    <t>Knight</t>
  </si>
  <si>
    <t>CORBANKNIGHT</t>
  </si>
  <si>
    <t>Corban.Knight</t>
  </si>
  <si>
    <t>Mike</t>
  </si>
  <si>
    <t>Reilly</t>
  </si>
  <si>
    <t>MIN</t>
  </si>
  <si>
    <t>MIKEREILLY</t>
  </si>
  <si>
    <t>Mike.Reilly</t>
  </si>
  <si>
    <t>Adam</t>
  </si>
  <si>
    <t>Clendening</t>
  </si>
  <si>
    <t>ADAMCLENDENING</t>
  </si>
  <si>
    <t>Adam.Clendening</t>
  </si>
  <si>
    <t>Greg</t>
  </si>
  <si>
    <t>Pateryn</t>
  </si>
  <si>
    <t>GREGPATERYN</t>
  </si>
  <si>
    <t>Greg.Pateryn</t>
  </si>
  <si>
    <t>Joe</t>
  </si>
  <si>
    <t>Morrow</t>
  </si>
  <si>
    <t>JOEMORROW</t>
  </si>
  <si>
    <t>Joe.Morrow</t>
  </si>
  <si>
    <t>Tyler</t>
  </si>
  <si>
    <t>Randell</t>
  </si>
  <si>
    <t>TYLERRANDELL</t>
  </si>
  <si>
    <t>Tyler.Randell</t>
  </si>
  <si>
    <t>Scott</t>
  </si>
  <si>
    <t>Wilson</t>
  </si>
  <si>
    <t>SCOTTWILSON</t>
  </si>
  <si>
    <t>Scott.Wilson</t>
  </si>
  <si>
    <t>Sissons</t>
  </si>
  <si>
    <t>COLTONSISSONS</t>
  </si>
  <si>
    <t>Colton.Sissons</t>
  </si>
  <si>
    <t>Zach</t>
  </si>
  <si>
    <t>Hyman</t>
  </si>
  <si>
    <t>ZACHHYMAN</t>
  </si>
  <si>
    <t>Zach.Hyman</t>
  </si>
  <si>
    <t>Wagner</t>
  </si>
  <si>
    <t>CHRISWAGNER</t>
  </si>
  <si>
    <t>Chris.Wagner</t>
  </si>
  <si>
    <t>Ty</t>
  </si>
  <si>
    <t>Rattie</t>
  </si>
  <si>
    <t>TYRATTIE</t>
  </si>
  <si>
    <t>Ty.Rattie</t>
  </si>
  <si>
    <t>Nic</t>
  </si>
  <si>
    <t>Petan</t>
  </si>
  <si>
    <t>NICOLASPETAN</t>
  </si>
  <si>
    <t>Nicolas.Petan</t>
  </si>
  <si>
    <t>Bitetto</t>
  </si>
  <si>
    <t>ANTHONYBITETTO</t>
  </si>
  <si>
    <t>Anthony.Bitetto</t>
  </si>
  <si>
    <t>Brown</t>
  </si>
  <si>
    <t>CONNORBROWN</t>
  </si>
  <si>
    <t>Connor.Brown</t>
  </si>
  <si>
    <t>Hanley</t>
  </si>
  <si>
    <t>JOELHANLEY</t>
  </si>
  <si>
    <t>Joel.Hanley</t>
  </si>
  <si>
    <t>Rocco</t>
  </si>
  <si>
    <t>Grimaldi</t>
  </si>
  <si>
    <t>ROCCOGRIMALDI</t>
  </si>
  <si>
    <t>Rocco.Grimaldi</t>
  </si>
  <si>
    <t>Paul</t>
  </si>
  <si>
    <t>NICHOLASPAUL</t>
  </si>
  <si>
    <t>Nikita</t>
  </si>
  <si>
    <t>Soshnikov</t>
  </si>
  <si>
    <t>NIKITASOSHNIKOV</t>
  </si>
  <si>
    <t>Nikita.Soshnikov</t>
  </si>
  <si>
    <t>Byron</t>
  </si>
  <si>
    <t>Froese</t>
  </si>
  <si>
    <t>BYRONFROESE</t>
  </si>
  <si>
    <t>Byron.Froese</t>
  </si>
  <si>
    <t>Brickley</t>
  </si>
  <si>
    <t>CONNORBRICKLEY</t>
  </si>
  <si>
    <t>Connor.Brickley</t>
  </si>
  <si>
    <t>Darren</t>
  </si>
  <si>
    <t>Dietz</t>
  </si>
  <si>
    <t>DARRENDIETZ</t>
  </si>
  <si>
    <t>Darren.Dietz</t>
  </si>
  <si>
    <t>Oesterle</t>
  </si>
  <si>
    <t>JORDANOESTERLE</t>
  </si>
  <si>
    <t>Jordan.Oesterle</t>
  </si>
  <si>
    <t>Brock</t>
  </si>
  <si>
    <t>McGinn</t>
  </si>
  <si>
    <t>BROCKMCGINN</t>
  </si>
  <si>
    <t>Brock.McGinn</t>
  </si>
  <si>
    <t>DeMelo</t>
  </si>
  <si>
    <t>DYLANDEMELO</t>
  </si>
  <si>
    <t>Dylan.Demelo</t>
  </si>
  <si>
    <t>McIlrath</t>
  </si>
  <si>
    <t>DYLANMCILRATH</t>
  </si>
  <si>
    <t>Dylan.McIlrath</t>
  </si>
  <si>
    <t>Pulock</t>
  </si>
  <si>
    <t>RYANPULOCK</t>
  </si>
  <si>
    <t>Ryan.Pulock</t>
  </si>
  <si>
    <t>Svedberg</t>
  </si>
  <si>
    <t>VIKTORSVEDBERG</t>
  </si>
  <si>
    <t>Viktor.Svedberg</t>
  </si>
  <si>
    <t>Ritchie</t>
  </si>
  <si>
    <t>NICKRITCHIE</t>
  </si>
  <si>
    <t>Nicholas.Ritchie</t>
  </si>
  <si>
    <t>McCormick</t>
  </si>
  <si>
    <t>MAXMCCORMICK</t>
  </si>
  <si>
    <t>Max.McCormick</t>
  </si>
  <si>
    <t>Oskar</t>
  </si>
  <si>
    <t>Sundqvist</t>
  </si>
  <si>
    <t>OSKARSUNDQVIST</t>
  </si>
  <si>
    <t>Oskar.Sundqvist</t>
  </si>
  <si>
    <t>Dave</t>
  </si>
  <si>
    <t>Dziurzynski</t>
  </si>
  <si>
    <t>DAVIDDZIURZYNSKI</t>
  </si>
  <si>
    <t>David.Dziurzynski</t>
  </si>
  <si>
    <t>Josh</t>
  </si>
  <si>
    <t>Anderson</t>
  </si>
  <si>
    <t>JOSHANDERSON</t>
  </si>
  <si>
    <t>Josh.Anderson</t>
  </si>
  <si>
    <t>Casey</t>
  </si>
  <si>
    <t>Nelson</t>
  </si>
  <si>
    <t>CASEYNELSON</t>
  </si>
  <si>
    <t>Hunter</t>
  </si>
  <si>
    <t>Shinkaruk</t>
  </si>
  <si>
    <t>HUNTERSHINKARUK</t>
  </si>
  <si>
    <t>Hunter.Shinkaruk</t>
  </si>
  <si>
    <t>Matt</t>
  </si>
  <si>
    <t>Puempel</t>
  </si>
  <si>
    <t>MATTPUEMPEL</t>
  </si>
  <si>
    <t>Matt.Puempel</t>
  </si>
  <si>
    <t>Mantha</t>
  </si>
  <si>
    <t>ANTHONYMANTHA</t>
  </si>
  <si>
    <t>Anthony.Mantha</t>
  </si>
  <si>
    <t>NHL PPG</t>
  </si>
  <si>
    <t>Last year PPG</t>
  </si>
  <si>
    <t>Last Year League</t>
  </si>
  <si>
    <t>KHL</t>
  </si>
  <si>
    <t>NCAA</t>
  </si>
  <si>
    <t>OHL</t>
  </si>
  <si>
    <t>QMJHL</t>
  </si>
  <si>
    <t>WHL</t>
  </si>
  <si>
    <t>SM-Liiga</t>
  </si>
  <si>
    <t>SweHL</t>
  </si>
  <si>
    <t>AHL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</si>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</sst>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#.00"/>
    <numFmt numFmtId="167" formatCode="#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8"/>
      <color indexed="8"/>
      <name val="Arial"/>
      <family val="2"/>
      <charset val="1"/>
    </font>
    <font>
      <b/>
      <sz val="8"/>
      <name val="Arial"/>
      <family val="2"/>
      <charset val="1"/>
    </font>
    <font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1" applyFont="1" applyFill="1" applyAlignment="1">
      <alignment horizontal="center" textRotation="66"/>
    </xf>
    <xf numFmtId="1" fontId="3" fillId="0" borderId="0" xfId="1" applyNumberFormat="1" applyFont="1" applyFill="1" applyAlignment="1">
      <alignment horizontal="center" textRotation="66"/>
    </xf>
    <xf numFmtId="0" fontId="4" fillId="0" borderId="0" xfId="1" applyFont="1" applyAlignment="1">
      <alignment horizontal="center" textRotation="66"/>
    </xf>
    <xf numFmtId="164" fontId="3" fillId="0" borderId="0" xfId="1" applyNumberFormat="1" applyFont="1" applyFill="1" applyAlignment="1">
      <alignment horizontal="center" textRotation="66"/>
    </xf>
    <xf numFmtId="164" fontId="4" fillId="0" borderId="0" xfId="1" applyNumberFormat="1" applyFont="1" applyAlignment="1">
      <alignment horizontal="center" textRotation="66"/>
    </xf>
    <xf numFmtId="2" fontId="4" fillId="0" borderId="0" xfId="1" applyNumberFormat="1" applyFont="1" applyAlignment="1">
      <alignment horizontal="center" textRotation="66"/>
    </xf>
    <xf numFmtId="2" fontId="3" fillId="0" borderId="0" xfId="1" applyNumberFormat="1" applyFont="1" applyFill="1" applyAlignment="1">
      <alignment horizontal="center" textRotation="66"/>
    </xf>
    <xf numFmtId="1" fontId="4" fillId="0" borderId="0" xfId="1" applyNumberFormat="1" applyFont="1" applyAlignment="1">
      <alignment horizontal="center" textRotation="66"/>
    </xf>
    <xf numFmtId="166" fontId="4" fillId="0" borderId="0" xfId="1" applyNumberFormat="1" applyFont="1" applyAlignment="1">
      <alignment horizontal="center" textRotation="66"/>
    </xf>
    <xf numFmtId="0" fontId="1" fillId="0" borderId="0" xfId="1"/>
    <xf numFmtId="0" fontId="2" fillId="0" borderId="0" xfId="1" applyFon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/>
    <xf numFmtId="0" fontId="2" fillId="0" borderId="0" xfId="2"/>
    <xf numFmtId="0" fontId="5" fillId="0" borderId="0" xfId="1" applyFont="1" applyFill="1" applyAlignment="1">
      <alignment horizontal="right"/>
    </xf>
    <xf numFmtId="2" fontId="5" fillId="0" borderId="0" xfId="1" applyNumberFormat="1" applyFont="1" applyFill="1" applyAlignment="1">
      <alignment horizontal="right"/>
    </xf>
    <xf numFmtId="164" fontId="2" fillId="0" borderId="0" xfId="2" applyNumberFormat="1"/>
    <xf numFmtId="1" fontId="2" fillId="0" borderId="0" xfId="1" applyNumberFormat="1" applyFont="1"/>
    <xf numFmtId="166" fontId="2" fillId="0" borderId="0" xfId="1" applyNumberFormat="1" applyFont="1" applyAlignment="1">
      <alignment wrapText="1"/>
    </xf>
    <xf numFmtId="167" fontId="2" fillId="0" borderId="0" xfId="1" applyNumberFormat="1" applyFont="1"/>
    <xf numFmtId="164" fontId="5" fillId="0" borderId="0" xfId="1" applyNumberFormat="1" applyFont="1" applyFill="1"/>
    <xf numFmtId="164" fontId="2" fillId="0" borderId="0" xfId="1" applyNumberFormat="1" applyFont="1" applyAlignment="1">
      <alignment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Fill="1" applyAlignment="1">
      <alignment horizontal="right"/>
    </xf>
    <xf numFmtId="1" fontId="2" fillId="0" borderId="0" xfId="0" applyNumberFormat="1" applyFont="1"/>
    <xf numFmtId="166" fontId="2" fillId="0" borderId="0" xfId="0" applyNumberFormat="1" applyFont="1" applyAlignment="1">
      <alignment wrapText="1"/>
    </xf>
    <xf numFmtId="167" fontId="2" fillId="0" borderId="0" xfId="0" applyNumberFormat="1" applyFont="1"/>
    <xf numFmtId="2" fontId="2" fillId="0" borderId="0" xfId="0" applyNumberFormat="1" applyFont="1"/>
    <xf numFmtId="164" fontId="5" fillId="0" borderId="0" xfId="0" applyNumberFormat="1" applyFont="1" applyFill="1"/>
    <xf numFmtId="164" fontId="2" fillId="0" borderId="0" xfId="0" applyNumberFormat="1" applyFont="1" applyAlignment="1">
      <alignment wrapText="1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01"/>
  <sheetViews>
    <sheetView tabSelected="1" zoomScale="115" zoomScaleNormal="115" workbookViewId="0">
      <selection activeCell="F102" sqref="F102"/>
    </sheetView>
  </sheetViews>
  <sheetFormatPr defaultRowHeight="15" x14ac:dyDescent="0.25"/>
  <sheetData>
    <row r="1" spans="1:118" ht="74.25" x14ac:dyDescent="0.25">
      <c r="A1" s="5" t="s">
        <v>7</v>
      </c>
      <c r="B1" s="5" t="s">
        <v>8</v>
      </c>
      <c r="C1" s="5" t="s">
        <v>9</v>
      </c>
      <c r="D1" s="3" t="s">
        <v>10</v>
      </c>
      <c r="E1" s="3" t="s">
        <v>11</v>
      </c>
      <c r="F1" s="3" t="s">
        <v>534</v>
      </c>
      <c r="G1" s="3" t="s">
        <v>536</v>
      </c>
      <c r="H1" s="3" t="s">
        <v>535</v>
      </c>
      <c r="I1" s="3" t="s">
        <v>12</v>
      </c>
      <c r="J1" s="3" t="s">
        <v>13</v>
      </c>
      <c r="K1" s="3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3" t="s">
        <v>23</v>
      </c>
      <c r="U1" s="3" t="s">
        <v>24</v>
      </c>
      <c r="V1" s="6" t="s">
        <v>25</v>
      </c>
      <c r="W1" s="6" t="s">
        <v>26</v>
      </c>
      <c r="X1" s="6" t="s">
        <v>27</v>
      </c>
      <c r="Y1" s="7" t="s">
        <v>28</v>
      </c>
      <c r="Z1" s="7" t="s">
        <v>29</v>
      </c>
      <c r="AA1" s="7" t="s">
        <v>30</v>
      </c>
      <c r="AB1" s="5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10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10" t="s">
        <v>48</v>
      </c>
      <c r="AT1" s="7" t="s">
        <v>49</v>
      </c>
      <c r="AU1" s="8" t="s">
        <v>50</v>
      </c>
      <c r="AV1" s="7" t="s">
        <v>51</v>
      </c>
      <c r="AW1" s="11" t="s">
        <v>52</v>
      </c>
      <c r="AX1" s="5" t="s">
        <v>53</v>
      </c>
      <c r="AY1" s="11" t="s">
        <v>54</v>
      </c>
      <c r="AZ1" s="7" t="s">
        <v>55</v>
      </c>
      <c r="BA1" s="8" t="s">
        <v>56</v>
      </c>
      <c r="BB1" s="11" t="s">
        <v>57</v>
      </c>
      <c r="BC1" s="11" t="s">
        <v>58</v>
      </c>
      <c r="BD1" s="7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7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5" t="s">
        <v>75</v>
      </c>
      <c r="BU1" s="5" t="s">
        <v>76</v>
      </c>
      <c r="BV1" s="5" t="s">
        <v>77</v>
      </c>
      <c r="BW1" s="5" t="s">
        <v>78</v>
      </c>
      <c r="BX1" s="5" t="s">
        <v>79</v>
      </c>
      <c r="BY1" s="5" t="s">
        <v>80</v>
      </c>
      <c r="BZ1" s="5" t="s">
        <v>81</v>
      </c>
      <c r="CA1" s="7" t="s">
        <v>82</v>
      </c>
      <c r="CB1" s="6" t="s">
        <v>83</v>
      </c>
      <c r="CC1" s="5" t="s">
        <v>84</v>
      </c>
      <c r="CD1" s="5" t="s">
        <v>85</v>
      </c>
      <c r="CE1" s="7" t="s">
        <v>86</v>
      </c>
      <c r="CF1" s="7" t="s">
        <v>87</v>
      </c>
      <c r="CG1" s="7" t="s">
        <v>88</v>
      </c>
      <c r="CH1" s="7" t="s">
        <v>89</v>
      </c>
      <c r="CI1" s="5" t="s">
        <v>90</v>
      </c>
      <c r="CJ1" s="5" t="s">
        <v>91</v>
      </c>
      <c r="CK1" s="5" t="s">
        <v>92</v>
      </c>
      <c r="CL1" s="5" t="s">
        <v>93</v>
      </c>
      <c r="CM1" s="5" t="s">
        <v>94</v>
      </c>
      <c r="CN1" s="5" t="s">
        <v>95</v>
      </c>
      <c r="CO1" s="5" t="s">
        <v>96</v>
      </c>
      <c r="CP1" s="5" t="s">
        <v>97</v>
      </c>
      <c r="CQ1" s="5" t="s">
        <v>98</v>
      </c>
      <c r="CR1" s="5" t="s">
        <v>99</v>
      </c>
      <c r="CS1" s="5" t="s">
        <v>100</v>
      </c>
      <c r="CT1" s="5" t="s">
        <v>101</v>
      </c>
      <c r="CU1" s="5" t="s">
        <v>102</v>
      </c>
      <c r="CV1" s="5" t="s">
        <v>103</v>
      </c>
      <c r="CW1" s="5" t="s">
        <v>104</v>
      </c>
      <c r="CX1" s="5" t="s">
        <v>105</v>
      </c>
      <c r="CY1" s="7" t="s">
        <v>106</v>
      </c>
      <c r="CZ1" s="7" t="s">
        <v>107</v>
      </c>
      <c r="DA1" s="7" t="s">
        <v>108</v>
      </c>
      <c r="DB1" s="7" t="s">
        <v>109</v>
      </c>
      <c r="DC1" s="7" t="s">
        <v>110</v>
      </c>
      <c r="DD1" s="7" t="s">
        <v>111</v>
      </c>
      <c r="DE1" s="3" t="s">
        <v>112</v>
      </c>
      <c r="DF1" s="3" t="s">
        <v>113</v>
      </c>
      <c r="DG1" s="3" t="s">
        <v>114</v>
      </c>
      <c r="DH1" s="4" t="s">
        <v>115</v>
      </c>
      <c r="DI1" s="4" t="s">
        <v>116</v>
      </c>
      <c r="DJ1" s="4" t="s">
        <v>117</v>
      </c>
      <c r="DK1" s="4" t="s">
        <v>118</v>
      </c>
      <c r="DL1" s="4" t="s">
        <v>119</v>
      </c>
      <c r="DM1" s="5" t="s">
        <v>120</v>
      </c>
      <c r="DN1" s="5" t="s">
        <v>121</v>
      </c>
    </row>
    <row r="2" spans="1:118" x14ac:dyDescent="0.25">
      <c r="A2" s="12" t="s">
        <v>0</v>
      </c>
      <c r="B2" s="12" t="s">
        <v>1</v>
      </c>
      <c r="C2" s="13" t="s">
        <v>2</v>
      </c>
      <c r="D2" s="14" t="s">
        <v>3</v>
      </c>
      <c r="E2" s="12">
        <v>80</v>
      </c>
      <c r="F2" s="12">
        <f>(77/80)</f>
        <v>0.96250000000000002</v>
      </c>
      <c r="G2" s="12" t="s">
        <v>537</v>
      </c>
      <c r="H2" s="12">
        <f>(62/54)</f>
        <v>1.1481481481481481</v>
      </c>
      <c r="I2" s="12">
        <v>22</v>
      </c>
      <c r="J2" s="12">
        <v>31</v>
      </c>
      <c r="K2" s="21">
        <v>53</v>
      </c>
      <c r="L2" s="22">
        <v>2.5368629588756963</v>
      </c>
      <c r="M2" s="20">
        <v>18</v>
      </c>
      <c r="N2" s="20">
        <v>11</v>
      </c>
      <c r="O2" s="20">
        <v>12</v>
      </c>
      <c r="P2" s="20">
        <v>126</v>
      </c>
      <c r="Q2" s="20">
        <v>45</v>
      </c>
      <c r="R2" s="20">
        <v>64</v>
      </c>
      <c r="S2" s="20">
        <v>143</v>
      </c>
      <c r="T2" s="15">
        <v>0.17460317460317459</v>
      </c>
      <c r="U2" s="15">
        <v>9.3617021276595741E-2</v>
      </c>
      <c r="V2" s="12">
        <v>75211</v>
      </c>
      <c r="W2" s="18">
        <v>15.668958333333334</v>
      </c>
      <c r="X2" s="23">
        <v>1162.0899999999999</v>
      </c>
      <c r="Y2" s="18">
        <v>14.526124999999999</v>
      </c>
      <c r="Z2" s="23">
        <v>2726.93</v>
      </c>
      <c r="AA2" s="18">
        <v>34.086624999999998</v>
      </c>
      <c r="AB2" s="17">
        <v>0.2988130685879733</v>
      </c>
      <c r="AC2" s="16">
        <v>119.57407407407408</v>
      </c>
      <c r="AD2" s="20">
        <v>12</v>
      </c>
      <c r="AE2" s="20">
        <v>42</v>
      </c>
      <c r="AF2" s="20">
        <v>107</v>
      </c>
      <c r="AG2" s="20">
        <v>32</v>
      </c>
      <c r="AH2" s="20">
        <v>25</v>
      </c>
      <c r="AI2" s="15">
        <v>0.33333333333333331</v>
      </c>
      <c r="AJ2" s="15">
        <v>0.42592592592592593</v>
      </c>
      <c r="AK2" s="15">
        <v>0.7592592592592593</v>
      </c>
      <c r="AL2" s="20">
        <v>404</v>
      </c>
      <c r="AM2" s="17">
        <v>0.44298245614035087</v>
      </c>
      <c r="AN2" s="20">
        <v>132</v>
      </c>
      <c r="AO2" s="17">
        <v>0.14473684210526316</v>
      </c>
      <c r="AP2" s="20">
        <v>376</v>
      </c>
      <c r="AQ2" s="17">
        <v>0.41228070175438597</v>
      </c>
      <c r="AR2" s="17">
        <v>0.75373134328358204</v>
      </c>
      <c r="AS2" s="13">
        <v>16</v>
      </c>
      <c r="AT2" s="23">
        <v>31.15</v>
      </c>
      <c r="AU2" s="20">
        <v>17.82</v>
      </c>
      <c r="AV2" s="24">
        <v>5</v>
      </c>
      <c r="AW2" s="25">
        <v>0.76700000000000002</v>
      </c>
      <c r="AX2" s="13">
        <v>5</v>
      </c>
      <c r="AY2" s="25">
        <v>0.78</v>
      </c>
      <c r="AZ2" s="20">
        <v>50.26</v>
      </c>
      <c r="BA2" s="20">
        <v>19.079999999999998</v>
      </c>
      <c r="BB2" s="25">
        <v>0.57899999999999996</v>
      </c>
      <c r="BC2" s="25">
        <v>2.4279999999999999</v>
      </c>
      <c r="BD2" s="20">
        <v>51.22</v>
      </c>
      <c r="BE2" s="17">
        <v>9.1993185689948895E-2</v>
      </c>
      <c r="BF2" s="26">
        <v>0.91145833333333337</v>
      </c>
      <c r="BG2" s="24">
        <v>1003.4515190232822</v>
      </c>
      <c r="BH2" s="17">
        <v>3.4515190232822651E-3</v>
      </c>
      <c r="BI2" s="19">
        <v>2.7880800970664925</v>
      </c>
      <c r="BJ2" s="19">
        <v>2.6331867583405764</v>
      </c>
      <c r="BK2" s="18">
        <v>30.307463277370946</v>
      </c>
      <c r="BL2" s="18">
        <v>29.739521035375919</v>
      </c>
      <c r="BM2" s="18">
        <v>57.981739796401314</v>
      </c>
      <c r="BN2" s="18">
        <v>53.799619650801581</v>
      </c>
      <c r="BO2" s="18">
        <v>4.1821201455997326</v>
      </c>
      <c r="BP2" s="20">
        <v>54</v>
      </c>
      <c r="BQ2" s="20">
        <v>51</v>
      </c>
      <c r="BR2" s="24">
        <v>533</v>
      </c>
      <c r="BS2" s="24">
        <v>525</v>
      </c>
      <c r="BT2" s="20">
        <v>204</v>
      </c>
      <c r="BU2" s="20">
        <v>197</v>
      </c>
      <c r="BV2" s="20">
        <v>332</v>
      </c>
      <c r="BW2" s="20">
        <v>269</v>
      </c>
      <c r="BX2" s="20">
        <v>494</v>
      </c>
      <c r="BY2" s="20">
        <v>524</v>
      </c>
      <c r="BZ2" s="17">
        <v>0.48526522593320237</v>
      </c>
      <c r="CA2" s="23">
        <v>-2.23</v>
      </c>
      <c r="CB2" s="27">
        <v>-3.645432093206237</v>
      </c>
      <c r="CC2" s="19">
        <v>2.0391524127361929</v>
      </c>
      <c r="CD2" s="19">
        <v>2.147289283108567</v>
      </c>
      <c r="CE2" s="18">
        <v>29.629502482030439</v>
      </c>
      <c r="CF2" s="18">
        <v>29.536813735996976</v>
      </c>
      <c r="CG2" s="18">
        <v>55.458766376688885</v>
      </c>
      <c r="CH2" s="18">
        <v>53.975746440153472</v>
      </c>
      <c r="CI2" s="18">
        <v>2.6991002090643192</v>
      </c>
      <c r="CJ2" s="12">
        <v>3883.9666670000001</v>
      </c>
      <c r="CK2" s="12">
        <v>132</v>
      </c>
      <c r="CL2" s="12">
        <v>139</v>
      </c>
      <c r="CM2" s="24">
        <v>1786</v>
      </c>
      <c r="CN2" s="12">
        <v>1773</v>
      </c>
      <c r="CO2" s="12">
        <v>670</v>
      </c>
      <c r="CP2" s="12">
        <v>675</v>
      </c>
      <c r="CQ2" s="12">
        <v>1002</v>
      </c>
      <c r="CR2" s="12">
        <v>907</v>
      </c>
      <c r="CS2" s="20">
        <v>10</v>
      </c>
      <c r="CT2" s="20">
        <v>13</v>
      </c>
      <c r="CU2" s="24">
        <v>3</v>
      </c>
      <c r="CV2" s="19">
        <v>0.47865338846711253</v>
      </c>
      <c r="CW2" s="19">
        <v>0.62224940500724624</v>
      </c>
      <c r="CX2" s="19">
        <v>0.14359601654013376</v>
      </c>
      <c r="CY2" s="28">
        <v>45.67</v>
      </c>
      <c r="CZ2" s="28">
        <v>50.32</v>
      </c>
      <c r="DA2" s="28">
        <v>32.17</v>
      </c>
      <c r="DB2" s="28">
        <v>45.28</v>
      </c>
      <c r="DC2" s="28">
        <v>42.38</v>
      </c>
      <c r="DD2" s="28">
        <v>55.35</v>
      </c>
      <c r="DE2" s="12">
        <v>0</v>
      </c>
      <c r="DF2" s="12">
        <v>0</v>
      </c>
      <c r="DG2" s="17" t="s">
        <v>4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3" t="s">
        <v>5</v>
      </c>
      <c r="DN2" s="12" t="s">
        <v>6</v>
      </c>
    </row>
    <row r="3" spans="1:118" x14ac:dyDescent="0.25">
      <c r="A3" t="s">
        <v>122</v>
      </c>
      <c r="B3" t="s">
        <v>123</v>
      </c>
      <c r="C3" s="1" t="s">
        <v>124</v>
      </c>
      <c r="D3" s="2" t="s">
        <v>125</v>
      </c>
      <c r="E3">
        <v>81</v>
      </c>
      <c r="F3">
        <f>(56/81)</f>
        <v>0.69135802469135799</v>
      </c>
      <c r="G3" t="s">
        <v>538</v>
      </c>
      <c r="H3">
        <f>(71/40)</f>
        <v>1.7749999999999999</v>
      </c>
      <c r="I3">
        <v>16</v>
      </c>
      <c r="J3">
        <v>19</v>
      </c>
      <c r="K3" s="29">
        <f t="shared" ref="K3:K66" si="0">I3+J3</f>
        <v>35</v>
      </c>
      <c r="L3" s="30">
        <f t="shared" ref="L3:L66" si="1">K3/V3*60*60</f>
        <v>1.6508785032034903</v>
      </c>
      <c r="M3" s="20">
        <v>12</v>
      </c>
      <c r="N3" s="20">
        <v>12</v>
      </c>
      <c r="O3" s="20">
        <v>5</v>
      </c>
      <c r="P3" s="20">
        <v>156</v>
      </c>
      <c r="Q3" s="20">
        <v>64</v>
      </c>
      <c r="R3" s="20">
        <v>65</v>
      </c>
      <c r="S3" s="20">
        <v>154</v>
      </c>
      <c r="T3" s="31">
        <f t="shared" ref="T3:T66" si="2">IF(P3&gt;0,I3/P3,0)</f>
        <v>0.10256410256410256</v>
      </c>
      <c r="U3" s="31">
        <f t="shared" ref="U3:U66" si="3">IF(SUM(P3:R3)&gt;0,I3/SUM(P3:R3),0)</f>
        <v>5.6140350877192984E-2</v>
      </c>
      <c r="V3">
        <v>76323</v>
      </c>
      <c r="W3" s="32">
        <f t="shared" ref="W3:W66" si="4">V3/E3/60</f>
        <v>15.70432098765432</v>
      </c>
      <c r="X3" s="23">
        <v>1186.67</v>
      </c>
      <c r="Y3" s="32">
        <f t="shared" ref="Y3:Y66" si="5">X3/E3</f>
        <v>14.650246913580247</v>
      </c>
      <c r="Z3" s="23">
        <v>2760.38</v>
      </c>
      <c r="AA3" s="32">
        <f t="shared" ref="AA3:AA66" si="6">Z3/E3</f>
        <v>34.07876543209877</v>
      </c>
      <c r="AB3" s="33">
        <f t="shared" ref="AB3:AB66" si="7">IF(Y3&gt;0,Y3/(Y3+AA3),0)</f>
        <v>0.30064731888372326</v>
      </c>
      <c r="AC3" s="34">
        <f t="shared" ref="AC3:AC66" si="8">IF(BE3&gt;0,N3/BE3,0)</f>
        <v>166.76923076923077</v>
      </c>
      <c r="AD3" s="20">
        <v>23</v>
      </c>
      <c r="AE3" s="20">
        <v>39</v>
      </c>
      <c r="AF3" s="20">
        <v>72</v>
      </c>
      <c r="AG3" s="20">
        <v>35</v>
      </c>
      <c r="AH3" s="20">
        <v>39</v>
      </c>
      <c r="AI3" s="31">
        <f t="shared" ref="AI3:AI66" si="9">IF(BP3&gt;0,M3/BP3,0)</f>
        <v>0.30769230769230771</v>
      </c>
      <c r="AJ3" s="31">
        <f t="shared" ref="AJ3:AJ66" si="10">IF(BP3&gt;0,(N3+O3)/BP3,0)</f>
        <v>0.4358974358974359</v>
      </c>
      <c r="AK3" s="31">
        <f t="shared" ref="AK3:AK66" si="11">AI3+AJ3</f>
        <v>0.74358974358974361</v>
      </c>
      <c r="AL3" s="20">
        <v>383</v>
      </c>
      <c r="AM3" s="33">
        <f t="shared" ref="AM3:AM66" si="12">IF(AL3&gt;0,AL3/(AL3+AN3+AP3),0)</f>
        <v>0.36268939393939392</v>
      </c>
      <c r="AN3" s="20">
        <v>334</v>
      </c>
      <c r="AO3" s="33">
        <f t="shared" ref="AO3:AO66" si="13">IF(AN3&gt;0,AN3/(AL3+AN3+AP3),0)</f>
        <v>0.31628787878787878</v>
      </c>
      <c r="AP3" s="20">
        <v>339</v>
      </c>
      <c r="AQ3" s="33">
        <f t="shared" ref="AQ3:AQ66" si="14">IF(AP3&gt;0,AP3/(AL3+AN3+AP3),0)</f>
        <v>0.32102272727272729</v>
      </c>
      <c r="AR3" s="33">
        <f t="shared" ref="AR3:AR66" si="15">IF(AL3&gt;0,AL3/(AL3+AN3),0)</f>
        <v>0.53417015341701535</v>
      </c>
      <c r="AS3" s="1">
        <v>13</v>
      </c>
      <c r="AT3" s="23">
        <v>8.2799999999999994</v>
      </c>
      <c r="AU3" s="20">
        <v>17.420000000000002</v>
      </c>
      <c r="AV3" s="35">
        <v>5</v>
      </c>
      <c r="AW3" s="36">
        <v>0.26900000000000002</v>
      </c>
      <c r="AX3" s="1">
        <v>9</v>
      </c>
      <c r="AY3" s="36">
        <v>0.40600000000000003</v>
      </c>
      <c r="AZ3" s="20">
        <v>50.23</v>
      </c>
      <c r="BA3" s="20">
        <v>18.23</v>
      </c>
      <c r="BB3" s="36">
        <v>1.137</v>
      </c>
      <c r="BC3" s="36">
        <v>-4.2160000000000002</v>
      </c>
      <c r="BD3" s="20">
        <v>46.69</v>
      </c>
      <c r="BE3" s="33">
        <f t="shared" ref="BE3:BE66" si="16">IF(BP3&gt;0,BP3/(BP3+BR3),0)</f>
        <v>7.1955719557195569E-2</v>
      </c>
      <c r="BF3" s="37">
        <f t="shared" ref="BF3:BF66" si="17">BS3/MAX(1,BQ3+BS3)</f>
        <v>0.9231950844854071</v>
      </c>
      <c r="BG3" s="35">
        <f t="shared" ref="BG3:BG66" si="18">BF3*1000+BE3*1000</f>
        <v>995.15080404260266</v>
      </c>
      <c r="BH3" s="33">
        <f t="shared" ref="BH3:BH66" si="19">BE3-(1-BF3)</f>
        <v>-4.8491959573973287E-3</v>
      </c>
      <c r="BI3" s="38">
        <f t="shared" ref="BI3:BI66" si="20">IF(Y3&gt;0,BP3/(Y3*E3)*60,0)</f>
        <v>1.9719045733017602</v>
      </c>
      <c r="BJ3" s="38">
        <f t="shared" ref="BJ3:BJ66" si="21">IF(Y3&gt;0,BQ3/(Y3*E3)*60,0)</f>
        <v>2.5280827862843078</v>
      </c>
      <c r="BK3" s="32">
        <f t="shared" ref="BK3:BK66" si="22">IF(Y3&gt;0,(BP3+BR3)/(Y3*E3)*60,0)</f>
        <v>27.404417403321901</v>
      </c>
      <c r="BL3" s="32">
        <f t="shared" ref="BL3:BL66" si="23">IF(Y3&gt;0,(BQ3+BS3)/(Y3*E3)*60,0)</f>
        <v>32.915637877421688</v>
      </c>
      <c r="BM3" s="32">
        <f t="shared" ref="BM3:BM66" si="24">IF(Y3&gt;0,(BP3+BR3+BT3+BV3)/(Y3*E3)*60,0)</f>
        <v>50.612217381411845</v>
      </c>
      <c r="BN3" s="32">
        <f t="shared" ref="BN3:BN66" si="25">IF(Y3&gt;0,(BQ3+BS3+BU3+BW3)/(Y3*E3)*60,0)</f>
        <v>57.539164215830851</v>
      </c>
      <c r="BO3" s="32">
        <f t="shared" ref="BO3:BO66" si="26">BM3-BN3</f>
        <v>-6.9269468344190059</v>
      </c>
      <c r="BP3" s="20">
        <v>39</v>
      </c>
      <c r="BQ3" s="20">
        <v>50</v>
      </c>
      <c r="BR3" s="35">
        <v>503</v>
      </c>
      <c r="BS3" s="35">
        <v>601</v>
      </c>
      <c r="BT3" s="20">
        <v>198</v>
      </c>
      <c r="BU3" s="20">
        <v>223</v>
      </c>
      <c r="BV3" s="20">
        <v>261</v>
      </c>
      <c r="BW3" s="20">
        <v>264</v>
      </c>
      <c r="BX3" s="20">
        <v>498</v>
      </c>
      <c r="BY3" s="20">
        <v>543</v>
      </c>
      <c r="BZ3" s="33">
        <f t="shared" ref="BZ3:BZ66" si="27">IF(BX3&gt;0,BX3/(BX3+BY3),0)</f>
        <v>0.47838616714697407</v>
      </c>
      <c r="CA3" s="23">
        <v>-1.62</v>
      </c>
      <c r="CB3" s="39">
        <f t="shared" ref="CB3:CB66" si="28">BO3-(-11.91+BC3-AY3+AR3*24)</f>
        <v>-3.2150305164273743</v>
      </c>
      <c r="CC3" s="38">
        <f t="shared" ref="CC3:CC66" si="29">IF(AA3&gt;0,CK3/CJ3*60,0)</f>
        <v>1.8191160048933639</v>
      </c>
      <c r="CD3" s="38">
        <f t="shared" ref="CD3:CD66" si="30">IF(AA3&gt;0,CL3/CJ3*60,0)</f>
        <v>2.216569921928889</v>
      </c>
      <c r="CE3" s="32">
        <f t="shared" ref="CE3:CE66" si="31">IF(AA3&gt;0,(CK3+CM3)/CJ3)*60</f>
        <v>27.74534074690299</v>
      </c>
      <c r="CF3" s="32">
        <f t="shared" ref="CF3:CF66" si="32">IF(AA3&gt;0,(CL3+CN3)/CJ3*60,0)</f>
        <v>29.824330466781117</v>
      </c>
      <c r="CG3" s="32">
        <f t="shared" ref="CG3:CG66" si="33">IF(AA3&gt;0,(CK3+CM3+CO3+CQ3)/CJ3*60,0)</f>
        <v>50.063906857359385</v>
      </c>
      <c r="CH3" s="32">
        <f t="shared" ref="CH3:CH66" si="34">IF(AA3&gt;0,(CL3+CN3+CP3+CR3)/CJ3)*60</f>
        <v>55.032080820303442</v>
      </c>
      <c r="CI3" s="32">
        <f t="shared" ref="CI3:CI66" si="35">BO3-(CG3-CH3)</f>
        <v>-1.9587728714749488</v>
      </c>
      <c r="CJ3">
        <v>3924.9833330000001</v>
      </c>
      <c r="CK3">
        <v>119</v>
      </c>
      <c r="CL3">
        <v>145</v>
      </c>
      <c r="CM3" s="35">
        <v>1696</v>
      </c>
      <c r="CN3">
        <v>1806</v>
      </c>
      <c r="CO3">
        <v>652</v>
      </c>
      <c r="CP3">
        <v>778</v>
      </c>
      <c r="CQ3">
        <v>808</v>
      </c>
      <c r="CR3">
        <v>871</v>
      </c>
      <c r="CS3" s="20">
        <v>9</v>
      </c>
      <c r="CT3" s="20">
        <v>18</v>
      </c>
      <c r="CU3" s="35">
        <f t="shared" ref="CU3:CU66" si="36">CT3-CS3</f>
        <v>9</v>
      </c>
      <c r="CV3" s="38">
        <f t="shared" ref="CV3:CV66" si="37">CS3/(W3*E3)*60</f>
        <v>0.424511615109469</v>
      </c>
      <c r="CW3" s="38">
        <f t="shared" ref="CW3:CW66" si="38">CT3/(W3*E3)*60</f>
        <v>0.849023230218938</v>
      </c>
      <c r="CX3" s="38">
        <f t="shared" ref="CX3:CX66" si="39">CU3/(W3*E3)*60</f>
        <v>0.424511615109469</v>
      </c>
      <c r="CY3" s="40">
        <v>39.71</v>
      </c>
      <c r="CZ3" s="40">
        <v>48.45</v>
      </c>
      <c r="DA3" s="40">
        <v>31.43</v>
      </c>
      <c r="DB3" s="40">
        <v>40.409999999999997</v>
      </c>
      <c r="DC3" s="40">
        <v>38.89</v>
      </c>
      <c r="DD3" s="40">
        <v>37.450000000000003</v>
      </c>
      <c r="DE3">
        <v>378</v>
      </c>
      <c r="DF3">
        <v>535</v>
      </c>
      <c r="DG3" s="33">
        <f t="shared" ref="DG3:DG66" si="40">IF((DE3+DF3)&gt;0,DE3/(DE3+DF3)," ")</f>
        <v>0.41401971522453451</v>
      </c>
      <c r="DH3">
        <v>0.19</v>
      </c>
      <c r="DI3">
        <v>-19.239999999999998</v>
      </c>
      <c r="DJ3">
        <v>258</v>
      </c>
      <c r="DK3">
        <v>308</v>
      </c>
      <c r="DL3">
        <v>286</v>
      </c>
      <c r="DM3" s="1" t="s">
        <v>126</v>
      </c>
      <c r="DN3" t="s">
        <v>127</v>
      </c>
    </row>
    <row r="4" spans="1:118" x14ac:dyDescent="0.25">
      <c r="A4" t="s">
        <v>128</v>
      </c>
      <c r="B4" t="s">
        <v>129</v>
      </c>
      <c r="C4" s="1" t="s">
        <v>130</v>
      </c>
      <c r="D4" s="2" t="s">
        <v>131</v>
      </c>
      <c r="E4">
        <v>81</v>
      </c>
      <c r="F4">
        <f>(52/81)</f>
        <v>0.64197530864197527</v>
      </c>
      <c r="G4" t="s">
        <v>539</v>
      </c>
      <c r="H4">
        <f>(102/57)</f>
        <v>1.7894736842105263</v>
      </c>
      <c r="I4">
        <v>15</v>
      </c>
      <c r="J4">
        <v>21</v>
      </c>
      <c r="K4" s="29">
        <f t="shared" si="0"/>
        <v>36</v>
      </c>
      <c r="L4" s="30">
        <f t="shared" si="1"/>
        <v>2.0314116429982136</v>
      </c>
      <c r="M4" s="20">
        <v>13</v>
      </c>
      <c r="N4" s="20">
        <v>14</v>
      </c>
      <c r="O4" s="20">
        <v>5</v>
      </c>
      <c r="P4" s="20">
        <v>90</v>
      </c>
      <c r="Q4" s="20">
        <v>48</v>
      </c>
      <c r="R4" s="20">
        <v>50</v>
      </c>
      <c r="S4" s="20">
        <v>118</v>
      </c>
      <c r="T4" s="31">
        <f t="shared" si="2"/>
        <v>0.16666666666666666</v>
      </c>
      <c r="U4" s="31">
        <f t="shared" si="3"/>
        <v>7.9787234042553196E-2</v>
      </c>
      <c r="V4">
        <v>63798</v>
      </c>
      <c r="W4" s="32">
        <f t="shared" si="4"/>
        <v>13.12716049382716</v>
      </c>
      <c r="X4" s="23">
        <v>1010.66</v>
      </c>
      <c r="Y4" s="32">
        <f t="shared" si="5"/>
        <v>12.477283950617284</v>
      </c>
      <c r="Z4" s="23">
        <v>2714.02</v>
      </c>
      <c r="AA4" s="32">
        <f t="shared" si="6"/>
        <v>33.506419753086419</v>
      </c>
      <c r="AB4" s="33">
        <f t="shared" si="7"/>
        <v>0.27134143067323907</v>
      </c>
      <c r="AC4" s="34">
        <f t="shared" si="8"/>
        <v>148.39999999999998</v>
      </c>
      <c r="AD4" s="20">
        <v>22</v>
      </c>
      <c r="AE4" s="20">
        <v>32</v>
      </c>
      <c r="AF4" s="20">
        <v>71</v>
      </c>
      <c r="AG4" s="20">
        <v>28</v>
      </c>
      <c r="AH4" s="20">
        <v>23</v>
      </c>
      <c r="AI4" s="31">
        <f t="shared" si="9"/>
        <v>0.28888888888888886</v>
      </c>
      <c r="AJ4" s="31">
        <f t="shared" si="10"/>
        <v>0.42222222222222222</v>
      </c>
      <c r="AK4" s="31">
        <f t="shared" si="11"/>
        <v>0.71111111111111103</v>
      </c>
      <c r="AL4" s="20">
        <v>364</v>
      </c>
      <c r="AM4" s="33">
        <f t="shared" si="12"/>
        <v>0.35756385068762281</v>
      </c>
      <c r="AN4" s="20">
        <v>278</v>
      </c>
      <c r="AO4" s="33">
        <f t="shared" si="13"/>
        <v>0.2730844793713163</v>
      </c>
      <c r="AP4" s="20">
        <v>376</v>
      </c>
      <c r="AQ4" s="33">
        <f t="shared" si="14"/>
        <v>0.36935166994106089</v>
      </c>
      <c r="AR4" s="33">
        <f t="shared" si="15"/>
        <v>0.5669781931464174</v>
      </c>
      <c r="AS4" s="1">
        <v>13</v>
      </c>
      <c r="AT4" s="23">
        <v>11.85</v>
      </c>
      <c r="AU4" s="20">
        <v>17.510000000000002</v>
      </c>
      <c r="AV4" s="35">
        <v>4</v>
      </c>
      <c r="AW4" s="36">
        <v>0.6</v>
      </c>
      <c r="AX4" s="1">
        <v>6</v>
      </c>
      <c r="AY4" s="36">
        <v>0.79500000000000004</v>
      </c>
      <c r="AZ4" s="20">
        <v>50.44</v>
      </c>
      <c r="BA4" s="20">
        <v>18.03</v>
      </c>
      <c r="BB4" s="36">
        <v>1.157</v>
      </c>
      <c r="BC4" s="36">
        <v>-5.86</v>
      </c>
      <c r="BD4" s="20">
        <v>48.14</v>
      </c>
      <c r="BE4" s="33">
        <f t="shared" si="16"/>
        <v>9.4339622641509441E-2</v>
      </c>
      <c r="BF4" s="37">
        <f t="shared" si="17"/>
        <v>0.94404332129963897</v>
      </c>
      <c r="BG4" s="35">
        <f t="shared" si="18"/>
        <v>1038.3829439411484</v>
      </c>
      <c r="BH4" s="33">
        <f t="shared" si="19"/>
        <v>3.8382943941148412E-2</v>
      </c>
      <c r="BI4" s="38">
        <f t="shared" si="20"/>
        <v>2.6715215799576515</v>
      </c>
      <c r="BJ4" s="38">
        <f t="shared" si="21"/>
        <v>1.8403815328597153</v>
      </c>
      <c r="BK4" s="32">
        <f t="shared" si="22"/>
        <v>28.318128747551103</v>
      </c>
      <c r="BL4" s="32">
        <f t="shared" si="23"/>
        <v>32.889399006589748</v>
      </c>
      <c r="BM4" s="32">
        <f t="shared" si="24"/>
        <v>53.430431599153025</v>
      </c>
      <c r="BN4" s="32">
        <f t="shared" si="25"/>
        <v>61.504363485247254</v>
      </c>
      <c r="BO4" s="32">
        <f t="shared" si="26"/>
        <v>-8.0739318860942291</v>
      </c>
      <c r="BP4" s="20">
        <v>45</v>
      </c>
      <c r="BQ4" s="20">
        <v>31</v>
      </c>
      <c r="BR4" s="35">
        <v>432</v>
      </c>
      <c r="BS4" s="35">
        <v>523</v>
      </c>
      <c r="BT4" s="20">
        <v>196</v>
      </c>
      <c r="BU4" s="20">
        <v>229</v>
      </c>
      <c r="BV4" s="20">
        <v>227</v>
      </c>
      <c r="BW4" s="20">
        <v>253</v>
      </c>
      <c r="BX4" s="20">
        <v>452</v>
      </c>
      <c r="BY4" s="20">
        <v>518</v>
      </c>
      <c r="BZ4" s="33">
        <f t="shared" si="27"/>
        <v>0.46597938144329898</v>
      </c>
      <c r="CA4" s="23">
        <v>0.46</v>
      </c>
      <c r="CB4" s="39">
        <f t="shared" si="28"/>
        <v>-3.1164085216082462</v>
      </c>
      <c r="CC4" s="38">
        <f t="shared" si="29"/>
        <v>2.0172316407698445</v>
      </c>
      <c r="CD4" s="38">
        <f t="shared" si="30"/>
        <v>2.1786101720314317</v>
      </c>
      <c r="CE4" s="32">
        <f t="shared" si="31"/>
        <v>26.675871217540422</v>
      </c>
      <c r="CF4" s="32">
        <f t="shared" si="32"/>
        <v>30.678058792827791</v>
      </c>
      <c r="CG4" s="32">
        <f t="shared" si="33"/>
        <v>51.431337913067949</v>
      </c>
      <c r="CH4" s="32">
        <f t="shared" si="34"/>
        <v>58.289925491685423</v>
      </c>
      <c r="CI4" s="32">
        <f t="shared" si="35"/>
        <v>-1.2153443074767551</v>
      </c>
      <c r="CJ4">
        <v>3717.9666670000001</v>
      </c>
      <c r="CK4">
        <v>125</v>
      </c>
      <c r="CL4">
        <v>135</v>
      </c>
      <c r="CM4" s="35">
        <v>1528</v>
      </c>
      <c r="CN4">
        <v>1766</v>
      </c>
      <c r="CO4">
        <v>700</v>
      </c>
      <c r="CP4">
        <v>832</v>
      </c>
      <c r="CQ4">
        <v>834</v>
      </c>
      <c r="CR4">
        <v>879</v>
      </c>
      <c r="CS4" s="20">
        <v>12</v>
      </c>
      <c r="CT4" s="20">
        <v>17</v>
      </c>
      <c r="CU4" s="35">
        <f t="shared" si="36"/>
        <v>5</v>
      </c>
      <c r="CV4" s="38">
        <f t="shared" si="37"/>
        <v>0.67713721433273766</v>
      </c>
      <c r="CW4" s="38">
        <f t="shared" si="38"/>
        <v>0.95927772030471181</v>
      </c>
      <c r="CX4" s="38">
        <f t="shared" si="39"/>
        <v>0.28214050597197404</v>
      </c>
      <c r="CY4" s="40">
        <v>36.700000000000003</v>
      </c>
      <c r="CZ4" s="40">
        <v>41.19</v>
      </c>
      <c r="DA4" s="40">
        <v>22.72</v>
      </c>
      <c r="DB4" s="40">
        <v>42.6</v>
      </c>
      <c r="DC4" s="40">
        <v>30.1</v>
      </c>
      <c r="DD4" s="40">
        <v>39.99</v>
      </c>
      <c r="DE4">
        <v>11</v>
      </c>
      <c r="DF4">
        <v>21</v>
      </c>
      <c r="DG4" s="33">
        <f t="shared" si="40"/>
        <v>0.34375</v>
      </c>
      <c r="DH4">
        <v>-0.11</v>
      </c>
      <c r="DI4">
        <v>-0.63</v>
      </c>
      <c r="DJ4">
        <v>17</v>
      </c>
      <c r="DK4">
        <v>9</v>
      </c>
      <c r="DL4">
        <v>2</v>
      </c>
      <c r="DM4" s="1" t="s">
        <v>132</v>
      </c>
      <c r="DN4" t="s">
        <v>133</v>
      </c>
    </row>
    <row r="5" spans="1:118" x14ac:dyDescent="0.25">
      <c r="A5" t="s">
        <v>134</v>
      </c>
      <c r="B5" t="s">
        <v>135</v>
      </c>
      <c r="C5" s="1" t="s">
        <v>136</v>
      </c>
      <c r="D5" s="2" t="s">
        <v>125</v>
      </c>
      <c r="E5">
        <v>45</v>
      </c>
      <c r="F5">
        <f>(48/45)</f>
        <v>1.0666666666666667</v>
      </c>
      <c r="G5" t="s">
        <v>539</v>
      </c>
      <c r="H5">
        <f>(120/47)</f>
        <v>2.5531914893617023</v>
      </c>
      <c r="I5">
        <v>13</v>
      </c>
      <c r="J5">
        <v>21</v>
      </c>
      <c r="K5" s="29">
        <f t="shared" si="0"/>
        <v>34</v>
      </c>
      <c r="L5" s="30">
        <f t="shared" si="1"/>
        <v>2.9942756494936149</v>
      </c>
      <c r="M5" s="20">
        <v>12</v>
      </c>
      <c r="N5" s="20">
        <v>9</v>
      </c>
      <c r="O5" s="20">
        <v>8</v>
      </c>
      <c r="P5" s="20">
        <v>64</v>
      </c>
      <c r="Q5" s="20">
        <v>21</v>
      </c>
      <c r="R5" s="20">
        <v>13</v>
      </c>
      <c r="S5" s="20">
        <v>92</v>
      </c>
      <c r="T5" s="31">
        <f t="shared" si="2"/>
        <v>0.203125</v>
      </c>
      <c r="U5" s="31">
        <f t="shared" si="3"/>
        <v>0.1326530612244898</v>
      </c>
      <c r="V5">
        <v>40878</v>
      </c>
      <c r="W5" s="32">
        <f t="shared" si="4"/>
        <v>15.139999999999999</v>
      </c>
      <c r="X5" s="23">
        <v>633.15</v>
      </c>
      <c r="Y5" s="32">
        <f t="shared" si="5"/>
        <v>14.07</v>
      </c>
      <c r="Z5" s="23">
        <v>1494.01</v>
      </c>
      <c r="AA5" s="32">
        <f t="shared" si="6"/>
        <v>33.200222222222223</v>
      </c>
      <c r="AB5" s="33">
        <f t="shared" si="7"/>
        <v>0.29765038831117546</v>
      </c>
      <c r="AC5" s="34">
        <f t="shared" si="8"/>
        <v>88.5</v>
      </c>
      <c r="AD5" s="20">
        <v>10</v>
      </c>
      <c r="AE5" s="20">
        <v>10</v>
      </c>
      <c r="AF5" s="20">
        <v>38</v>
      </c>
      <c r="AG5" s="20">
        <v>9</v>
      </c>
      <c r="AH5" s="20">
        <v>24</v>
      </c>
      <c r="AI5" s="31">
        <f t="shared" si="9"/>
        <v>0.33333333333333331</v>
      </c>
      <c r="AJ5" s="31">
        <f t="shared" si="10"/>
        <v>0.47222222222222221</v>
      </c>
      <c r="AK5" s="31">
        <f t="shared" si="11"/>
        <v>0.80555555555555558</v>
      </c>
      <c r="AL5" s="20">
        <v>198</v>
      </c>
      <c r="AM5" s="33">
        <f t="shared" si="12"/>
        <v>0.32565789473684209</v>
      </c>
      <c r="AN5" s="20">
        <v>197</v>
      </c>
      <c r="AO5" s="33">
        <f t="shared" si="13"/>
        <v>0.32401315789473684</v>
      </c>
      <c r="AP5" s="20">
        <v>213</v>
      </c>
      <c r="AQ5" s="33">
        <f t="shared" si="14"/>
        <v>0.35032894736842107</v>
      </c>
      <c r="AR5" s="33">
        <f t="shared" si="15"/>
        <v>0.50126582278481013</v>
      </c>
      <c r="AS5" s="1">
        <v>10</v>
      </c>
      <c r="AT5" s="23">
        <v>4.21</v>
      </c>
      <c r="AU5" s="20">
        <v>17.78</v>
      </c>
      <c r="AV5" s="35">
        <v>6</v>
      </c>
      <c r="AW5" s="36">
        <v>0.57300000000000006</v>
      </c>
      <c r="AX5" s="1">
        <v>6</v>
      </c>
      <c r="AY5" s="36">
        <v>0.49199999999999999</v>
      </c>
      <c r="AZ5" s="20">
        <v>50.26</v>
      </c>
      <c r="BA5" s="20">
        <v>17.84</v>
      </c>
      <c r="BB5" s="36">
        <v>0.95100000000000007</v>
      </c>
      <c r="BC5" s="36">
        <v>-1.218</v>
      </c>
      <c r="BD5" s="20">
        <v>49.31</v>
      </c>
      <c r="BE5" s="33">
        <f t="shared" si="16"/>
        <v>0.10169491525423729</v>
      </c>
      <c r="BF5" s="37">
        <f t="shared" si="17"/>
        <v>0.88993710691823902</v>
      </c>
      <c r="BG5" s="35">
        <f t="shared" si="18"/>
        <v>991.63202217247635</v>
      </c>
      <c r="BH5" s="33">
        <f t="shared" si="19"/>
        <v>-8.3679778275236871E-3</v>
      </c>
      <c r="BI5" s="38">
        <f t="shared" si="20"/>
        <v>3.4115138592750531</v>
      </c>
      <c r="BJ5" s="38">
        <f t="shared" si="21"/>
        <v>3.3167495854063023</v>
      </c>
      <c r="BK5" s="32">
        <f t="shared" si="22"/>
        <v>33.546552949538025</v>
      </c>
      <c r="BL5" s="32">
        <f t="shared" si="23"/>
        <v>30.135039090262971</v>
      </c>
      <c r="BM5" s="32">
        <f t="shared" si="24"/>
        <v>60.270078180525942</v>
      </c>
      <c r="BN5" s="32">
        <f t="shared" si="25"/>
        <v>56.195214404169633</v>
      </c>
      <c r="BO5" s="32">
        <f t="shared" si="26"/>
        <v>4.0748637763563096</v>
      </c>
      <c r="BP5" s="20">
        <v>36</v>
      </c>
      <c r="BQ5" s="20">
        <v>35</v>
      </c>
      <c r="BR5" s="35">
        <v>318</v>
      </c>
      <c r="BS5" s="35">
        <v>283</v>
      </c>
      <c r="BT5" s="20">
        <v>124</v>
      </c>
      <c r="BU5" s="20">
        <v>127</v>
      </c>
      <c r="BV5" s="20">
        <v>158</v>
      </c>
      <c r="BW5" s="20">
        <v>148</v>
      </c>
      <c r="BX5" s="20">
        <v>360</v>
      </c>
      <c r="BY5" s="20">
        <v>315</v>
      </c>
      <c r="BZ5" s="33">
        <f t="shared" si="27"/>
        <v>0.53333333333333333</v>
      </c>
      <c r="CA5" s="23">
        <v>4.9400000000000004</v>
      </c>
      <c r="CB5" s="39">
        <f t="shared" si="28"/>
        <v>5.6644840295208674</v>
      </c>
      <c r="CC5" s="38">
        <f t="shared" si="29"/>
        <v>2.1530242019302301</v>
      </c>
      <c r="CD5" s="38">
        <f t="shared" si="30"/>
        <v>2.6697500103934853</v>
      </c>
      <c r="CE5" s="32">
        <f t="shared" si="31"/>
        <v>28.276384518683688</v>
      </c>
      <c r="CF5" s="32">
        <f t="shared" si="32"/>
        <v>30.458115709972986</v>
      </c>
      <c r="CG5" s="32">
        <f t="shared" si="33"/>
        <v>53.883019026973884</v>
      </c>
      <c r="CH5" s="32">
        <f t="shared" si="34"/>
        <v>57.528806675575744</v>
      </c>
      <c r="CI5" s="32">
        <f t="shared" si="35"/>
        <v>7.7206514249581701</v>
      </c>
      <c r="CJ5">
        <v>2090.083333</v>
      </c>
      <c r="CK5">
        <v>75</v>
      </c>
      <c r="CL5">
        <v>93</v>
      </c>
      <c r="CM5" s="35">
        <v>910</v>
      </c>
      <c r="CN5">
        <v>968</v>
      </c>
      <c r="CO5">
        <v>364</v>
      </c>
      <c r="CP5">
        <v>410</v>
      </c>
      <c r="CQ5">
        <v>528</v>
      </c>
      <c r="CR5">
        <v>533</v>
      </c>
      <c r="CS5" s="20">
        <v>6</v>
      </c>
      <c r="CT5" s="20">
        <v>15</v>
      </c>
      <c r="CU5" s="35">
        <f t="shared" si="36"/>
        <v>9</v>
      </c>
      <c r="CV5" s="38">
        <f t="shared" si="37"/>
        <v>0.52840158520475566</v>
      </c>
      <c r="CW5" s="38">
        <f t="shared" si="38"/>
        <v>1.321003963011889</v>
      </c>
      <c r="CX5" s="38">
        <f t="shared" si="39"/>
        <v>0.7926023778071335</v>
      </c>
      <c r="CY5" s="40">
        <v>30.06</v>
      </c>
      <c r="CZ5" s="40">
        <v>26.83</v>
      </c>
      <c r="DA5" s="40">
        <v>10.51</v>
      </c>
      <c r="DB5" s="40">
        <v>31.99</v>
      </c>
      <c r="DC5" s="40">
        <v>19.96</v>
      </c>
      <c r="DD5" s="40">
        <v>25.88</v>
      </c>
      <c r="DE5">
        <v>236</v>
      </c>
      <c r="DF5">
        <v>344</v>
      </c>
      <c r="DG5" s="33">
        <f t="shared" si="40"/>
        <v>0.40689655172413791</v>
      </c>
      <c r="DH5">
        <v>0.84</v>
      </c>
      <c r="DI5">
        <v>-10.8</v>
      </c>
      <c r="DJ5">
        <v>186</v>
      </c>
      <c r="DK5">
        <v>207</v>
      </c>
      <c r="DL5">
        <v>162</v>
      </c>
      <c r="DM5" s="1" t="s">
        <v>137</v>
      </c>
      <c r="DN5" t="s">
        <v>138</v>
      </c>
    </row>
    <row r="6" spans="1:118" x14ac:dyDescent="0.25">
      <c r="A6" t="s">
        <v>139</v>
      </c>
      <c r="B6" t="s">
        <v>140</v>
      </c>
      <c r="C6" s="1" t="s">
        <v>141</v>
      </c>
      <c r="D6" s="2" t="s">
        <v>142</v>
      </c>
      <c r="E6">
        <v>64</v>
      </c>
      <c r="F6">
        <f>(46/64)</f>
        <v>0.71875</v>
      </c>
      <c r="G6" t="s">
        <v>538</v>
      </c>
      <c r="H6">
        <f>(34/42)</f>
        <v>0.80952380952380953</v>
      </c>
      <c r="I6">
        <v>9</v>
      </c>
      <c r="J6">
        <v>15</v>
      </c>
      <c r="K6" s="29">
        <f t="shared" si="0"/>
        <v>24</v>
      </c>
      <c r="L6" s="30">
        <f t="shared" si="1"/>
        <v>1.4075329075980711</v>
      </c>
      <c r="M6" s="20">
        <v>7</v>
      </c>
      <c r="N6" s="20">
        <v>8</v>
      </c>
      <c r="O6" s="20">
        <v>4</v>
      </c>
      <c r="P6" s="20">
        <v>67</v>
      </c>
      <c r="Q6" s="20">
        <v>40</v>
      </c>
      <c r="R6" s="20">
        <v>58</v>
      </c>
      <c r="S6" s="20">
        <v>48</v>
      </c>
      <c r="T6" s="31">
        <f t="shared" si="2"/>
        <v>0.13432835820895522</v>
      </c>
      <c r="U6" s="31">
        <f t="shared" si="3"/>
        <v>5.4545454545454543E-2</v>
      </c>
      <c r="V6">
        <v>61384</v>
      </c>
      <c r="W6" s="32">
        <f t="shared" si="4"/>
        <v>15.985416666666667</v>
      </c>
      <c r="X6" s="23">
        <v>952.86</v>
      </c>
      <c r="Y6" s="32">
        <f t="shared" si="5"/>
        <v>14.8884375</v>
      </c>
      <c r="Z6" s="23">
        <v>2049.9699999999998</v>
      </c>
      <c r="AA6" s="32">
        <f t="shared" si="6"/>
        <v>32.030781249999997</v>
      </c>
      <c r="AB6" s="33">
        <f t="shared" si="7"/>
        <v>0.31732066084327121</v>
      </c>
      <c r="AC6" s="34">
        <f t="shared" si="8"/>
        <v>83.555555555555557</v>
      </c>
      <c r="AD6" s="20">
        <v>48</v>
      </c>
      <c r="AE6" s="20">
        <v>26</v>
      </c>
      <c r="AF6" s="20">
        <v>36</v>
      </c>
      <c r="AG6" s="20">
        <v>42</v>
      </c>
      <c r="AH6" s="20">
        <v>24</v>
      </c>
      <c r="AI6" s="31">
        <f t="shared" si="9"/>
        <v>0.15555555555555556</v>
      </c>
      <c r="AJ6" s="31">
        <f t="shared" si="10"/>
        <v>0.26666666666666666</v>
      </c>
      <c r="AK6" s="31">
        <f t="shared" si="11"/>
        <v>0.42222222222222222</v>
      </c>
      <c r="AL6" s="20">
        <v>349</v>
      </c>
      <c r="AM6" s="33">
        <f t="shared" si="12"/>
        <v>0.40068886337543053</v>
      </c>
      <c r="AN6" s="20">
        <v>224</v>
      </c>
      <c r="AO6" s="33">
        <f t="shared" si="13"/>
        <v>0.25717566016073479</v>
      </c>
      <c r="AP6" s="20">
        <v>298</v>
      </c>
      <c r="AQ6" s="33">
        <f t="shared" si="14"/>
        <v>0.34213547646383469</v>
      </c>
      <c r="AR6" s="33">
        <f t="shared" si="15"/>
        <v>0.60907504363001741</v>
      </c>
      <c r="AS6" s="1">
        <v>8</v>
      </c>
      <c r="AT6" s="23">
        <v>15.65</v>
      </c>
      <c r="AU6" s="20">
        <v>17.190000000000001</v>
      </c>
      <c r="AV6" s="35">
        <v>6</v>
      </c>
      <c r="AW6" s="36">
        <v>-0.254</v>
      </c>
      <c r="AX6" s="1">
        <v>6</v>
      </c>
      <c r="AY6" s="36">
        <v>0.20800000000000002</v>
      </c>
      <c r="AZ6" s="20">
        <v>50.26</v>
      </c>
      <c r="BA6" s="20">
        <v>16.63</v>
      </c>
      <c r="BB6" s="36">
        <v>0.193</v>
      </c>
      <c r="BC6" s="36">
        <v>1.6</v>
      </c>
      <c r="BD6" s="20">
        <v>49.88</v>
      </c>
      <c r="BE6" s="33">
        <f t="shared" si="16"/>
        <v>9.5744680851063829E-2</v>
      </c>
      <c r="BF6" s="37">
        <f t="shared" si="17"/>
        <v>0.93562231759656656</v>
      </c>
      <c r="BG6" s="35">
        <f t="shared" si="18"/>
        <v>1031.3669984476303</v>
      </c>
      <c r="BH6" s="33">
        <f t="shared" si="19"/>
        <v>3.1366998447630384E-2</v>
      </c>
      <c r="BI6" s="38">
        <f t="shared" si="20"/>
        <v>2.8335747119199044</v>
      </c>
      <c r="BJ6" s="38">
        <f t="shared" si="21"/>
        <v>1.8890498079466027</v>
      </c>
      <c r="BK6" s="32">
        <f t="shared" si="22"/>
        <v>29.595113657830112</v>
      </c>
      <c r="BL6" s="32">
        <f t="shared" si="23"/>
        <v>29.343240350103898</v>
      </c>
      <c r="BM6" s="32">
        <f t="shared" si="24"/>
        <v>57.175240853850518</v>
      </c>
      <c r="BN6" s="32">
        <f t="shared" si="25"/>
        <v>57.049304199987404</v>
      </c>
      <c r="BO6" s="32">
        <f t="shared" si="26"/>
        <v>0.12593665386311415</v>
      </c>
      <c r="BP6" s="20">
        <v>45</v>
      </c>
      <c r="BQ6" s="20">
        <v>30</v>
      </c>
      <c r="BR6" s="35">
        <v>425</v>
      </c>
      <c r="BS6" s="35">
        <v>436</v>
      </c>
      <c r="BT6" s="20">
        <v>177</v>
      </c>
      <c r="BU6" s="20">
        <v>174</v>
      </c>
      <c r="BV6" s="20">
        <v>261</v>
      </c>
      <c r="BW6" s="20">
        <v>266</v>
      </c>
      <c r="BX6" s="20">
        <v>423</v>
      </c>
      <c r="BY6" s="20">
        <v>443</v>
      </c>
      <c r="BZ6" s="33">
        <f t="shared" si="27"/>
        <v>0.48845265588914549</v>
      </c>
      <c r="CA6" s="23">
        <v>-1.72</v>
      </c>
      <c r="CB6" s="39">
        <f t="shared" si="28"/>
        <v>-3.973864393257303</v>
      </c>
      <c r="CC6" s="38">
        <f t="shared" si="29"/>
        <v>2.098577630949976</v>
      </c>
      <c r="CD6" s="38">
        <f t="shared" si="30"/>
        <v>1.978658909181406</v>
      </c>
      <c r="CE6" s="32">
        <f t="shared" si="31"/>
        <v>29.539978462324424</v>
      </c>
      <c r="CF6" s="32">
        <f t="shared" si="32"/>
        <v>29.639910730464898</v>
      </c>
      <c r="CG6" s="32">
        <f t="shared" si="33"/>
        <v>58.260512325896954</v>
      </c>
      <c r="CH6" s="32">
        <f t="shared" si="34"/>
        <v>56.101975334062693</v>
      </c>
      <c r="CI6" s="32">
        <f t="shared" si="35"/>
        <v>-2.0326003379711466</v>
      </c>
      <c r="CJ6">
        <v>3002.0333329999999</v>
      </c>
      <c r="CK6">
        <v>105</v>
      </c>
      <c r="CL6">
        <v>99</v>
      </c>
      <c r="CM6" s="35">
        <v>1373</v>
      </c>
      <c r="CN6">
        <v>1384</v>
      </c>
      <c r="CO6">
        <v>595</v>
      </c>
      <c r="CP6">
        <v>505</v>
      </c>
      <c r="CQ6">
        <v>842</v>
      </c>
      <c r="CR6">
        <v>819</v>
      </c>
      <c r="CS6" s="20">
        <v>9</v>
      </c>
      <c r="CT6" s="20">
        <v>8</v>
      </c>
      <c r="CU6" s="35">
        <f t="shared" si="36"/>
        <v>-1</v>
      </c>
      <c r="CV6" s="38">
        <f t="shared" si="37"/>
        <v>0.52782484034927668</v>
      </c>
      <c r="CW6" s="38">
        <f t="shared" si="38"/>
        <v>0.46917763586602368</v>
      </c>
      <c r="CX6" s="38">
        <f t="shared" si="39"/>
        <v>-5.864720448325296E-2</v>
      </c>
      <c r="CY6" s="40">
        <v>33.96</v>
      </c>
      <c r="CZ6" s="40">
        <v>37.19</v>
      </c>
      <c r="DA6" s="40">
        <v>38.06</v>
      </c>
      <c r="DB6" s="40">
        <v>30.4</v>
      </c>
      <c r="DC6" s="40">
        <v>33.200000000000003</v>
      </c>
      <c r="DD6" s="40">
        <v>38.64</v>
      </c>
      <c r="DE6">
        <v>1</v>
      </c>
      <c r="DF6">
        <v>0</v>
      </c>
      <c r="DG6" s="33">
        <f t="shared" si="40"/>
        <v>1</v>
      </c>
      <c r="DH6">
        <v>0</v>
      </c>
      <c r="DI6">
        <v>0</v>
      </c>
      <c r="DJ6">
        <v>0</v>
      </c>
      <c r="DK6">
        <v>1</v>
      </c>
      <c r="DL6">
        <v>0</v>
      </c>
      <c r="DM6" s="1" t="s">
        <v>143</v>
      </c>
      <c r="DN6" t="s">
        <v>144</v>
      </c>
    </row>
    <row r="7" spans="1:118" x14ac:dyDescent="0.25">
      <c r="A7" t="s">
        <v>145</v>
      </c>
      <c r="B7" t="s">
        <v>146</v>
      </c>
      <c r="C7" s="1" t="s">
        <v>147</v>
      </c>
      <c r="D7" s="2" t="s">
        <v>125</v>
      </c>
      <c r="E7">
        <v>80</v>
      </c>
      <c r="F7">
        <f>(45/80)</f>
        <v>0.5625</v>
      </c>
      <c r="G7" t="s">
        <v>538</v>
      </c>
      <c r="H7">
        <f>(47/35)</f>
        <v>1.3428571428571427</v>
      </c>
      <c r="I7">
        <v>19</v>
      </c>
      <c r="J7">
        <v>21</v>
      </c>
      <c r="K7" s="29">
        <f t="shared" si="0"/>
        <v>40</v>
      </c>
      <c r="L7" s="30">
        <f t="shared" si="1"/>
        <v>2.0839061663362326</v>
      </c>
      <c r="M7" s="20">
        <v>18</v>
      </c>
      <c r="N7" s="20">
        <v>12</v>
      </c>
      <c r="O7" s="20">
        <v>6</v>
      </c>
      <c r="P7" s="20">
        <v>153</v>
      </c>
      <c r="Q7" s="20">
        <v>60</v>
      </c>
      <c r="R7" s="20">
        <v>72</v>
      </c>
      <c r="S7" s="20">
        <v>160</v>
      </c>
      <c r="T7" s="31">
        <f t="shared" si="2"/>
        <v>0.12418300653594772</v>
      </c>
      <c r="U7" s="31">
        <f t="shared" si="3"/>
        <v>6.6666666666666666E-2</v>
      </c>
      <c r="V7">
        <v>69101</v>
      </c>
      <c r="W7" s="32">
        <f t="shared" si="4"/>
        <v>14.396041666666667</v>
      </c>
      <c r="X7" s="23">
        <v>1061.95</v>
      </c>
      <c r="Y7" s="32">
        <f t="shared" si="5"/>
        <v>13.274375000000001</v>
      </c>
      <c r="Z7" s="23">
        <v>2697.82</v>
      </c>
      <c r="AA7" s="32">
        <f t="shared" si="6"/>
        <v>33.722750000000005</v>
      </c>
      <c r="AB7" s="33">
        <f t="shared" si="7"/>
        <v>0.28245078821310876</v>
      </c>
      <c r="AC7" s="34">
        <f t="shared" si="8"/>
        <v>137.87234042553192</v>
      </c>
      <c r="AD7" s="20">
        <v>21</v>
      </c>
      <c r="AE7" s="20">
        <v>59</v>
      </c>
      <c r="AF7" s="20">
        <v>84</v>
      </c>
      <c r="AG7" s="20">
        <v>27</v>
      </c>
      <c r="AH7" s="20">
        <v>36</v>
      </c>
      <c r="AI7" s="31">
        <f t="shared" si="9"/>
        <v>0.38297872340425532</v>
      </c>
      <c r="AJ7" s="31">
        <f t="shared" si="10"/>
        <v>0.38297872340425532</v>
      </c>
      <c r="AK7" s="31">
        <f t="shared" si="11"/>
        <v>0.76595744680851063</v>
      </c>
      <c r="AL7" s="20">
        <v>368</v>
      </c>
      <c r="AM7" s="33">
        <f t="shared" si="12"/>
        <v>0.38574423480083858</v>
      </c>
      <c r="AN7" s="20">
        <v>239</v>
      </c>
      <c r="AO7" s="33">
        <f t="shared" si="13"/>
        <v>0.25052410901467503</v>
      </c>
      <c r="AP7" s="20">
        <v>347</v>
      </c>
      <c r="AQ7" s="33">
        <f t="shared" si="14"/>
        <v>0.36373165618448638</v>
      </c>
      <c r="AR7" s="33">
        <f t="shared" si="15"/>
        <v>0.6062602965403624</v>
      </c>
      <c r="AS7" s="1">
        <v>12</v>
      </c>
      <c r="AT7" s="23">
        <v>8.9600000000000009</v>
      </c>
      <c r="AU7" s="20">
        <v>17.68</v>
      </c>
      <c r="AV7" s="35">
        <v>4</v>
      </c>
      <c r="AW7" s="36">
        <v>0.52</v>
      </c>
      <c r="AX7" s="1">
        <v>6</v>
      </c>
      <c r="AY7" s="36">
        <v>-5.3999999999999999E-2</v>
      </c>
      <c r="AZ7" s="20">
        <v>50.14</v>
      </c>
      <c r="BA7" s="20">
        <v>18.309999999999999</v>
      </c>
      <c r="BB7" s="36">
        <v>-0.52800000000000002</v>
      </c>
      <c r="BC7" s="36">
        <v>3.1</v>
      </c>
      <c r="BD7" s="20">
        <v>51.86</v>
      </c>
      <c r="BE7" s="33">
        <f t="shared" si="16"/>
        <v>8.7037037037037038E-2</v>
      </c>
      <c r="BF7" s="37">
        <f t="shared" si="17"/>
        <v>0.93392857142857144</v>
      </c>
      <c r="BG7" s="35">
        <f t="shared" si="18"/>
        <v>1020.9656084656085</v>
      </c>
      <c r="BH7" s="33">
        <f t="shared" si="19"/>
        <v>2.0965608465608479E-2</v>
      </c>
      <c r="BI7" s="38">
        <f t="shared" si="20"/>
        <v>2.6554922548142565</v>
      </c>
      <c r="BJ7" s="38">
        <f t="shared" si="21"/>
        <v>2.0904939027261173</v>
      </c>
      <c r="BK7" s="32">
        <f t="shared" si="22"/>
        <v>30.509911012759549</v>
      </c>
      <c r="BL7" s="32">
        <f t="shared" si="23"/>
        <v>31.639907716935824</v>
      </c>
      <c r="BM7" s="32">
        <f t="shared" si="24"/>
        <v>56.725834549649228</v>
      </c>
      <c r="BN7" s="32">
        <f t="shared" si="25"/>
        <v>52.544846744196995</v>
      </c>
      <c r="BO7" s="32">
        <f t="shared" si="26"/>
        <v>4.1809878054522329</v>
      </c>
      <c r="BP7" s="20">
        <v>47</v>
      </c>
      <c r="BQ7" s="20">
        <v>37</v>
      </c>
      <c r="BR7" s="35">
        <v>493</v>
      </c>
      <c r="BS7" s="35">
        <v>523</v>
      </c>
      <c r="BT7" s="20">
        <v>211</v>
      </c>
      <c r="BU7" s="20">
        <v>191</v>
      </c>
      <c r="BV7" s="20">
        <v>253</v>
      </c>
      <c r="BW7" s="20">
        <v>179</v>
      </c>
      <c r="BX7" s="20">
        <v>507</v>
      </c>
      <c r="BY7" s="20">
        <v>490</v>
      </c>
      <c r="BZ7" s="33">
        <f t="shared" si="27"/>
        <v>0.50852557673019061</v>
      </c>
      <c r="CA7" s="23">
        <v>-0.18</v>
      </c>
      <c r="CB7" s="39">
        <f t="shared" si="28"/>
        <v>-1.6132593115164653</v>
      </c>
      <c r="CC7" s="38">
        <f t="shared" si="29"/>
        <v>2.0077903684496978</v>
      </c>
      <c r="CD7" s="38">
        <f t="shared" si="30"/>
        <v>2.1352691220020596</v>
      </c>
      <c r="CE7" s="32">
        <f t="shared" si="31"/>
        <v>28.889872523803991</v>
      </c>
      <c r="CF7" s="32">
        <f t="shared" si="32"/>
        <v>29.240439096072986</v>
      </c>
      <c r="CG7" s="32">
        <f t="shared" si="33"/>
        <v>53.11083569875273</v>
      </c>
      <c r="CH7" s="32">
        <f t="shared" si="34"/>
        <v>49.39801700154019</v>
      </c>
      <c r="CI7" s="32">
        <f t="shared" si="35"/>
        <v>0.46816910823969238</v>
      </c>
      <c r="CJ7">
        <v>3765.333333</v>
      </c>
      <c r="CK7">
        <v>126</v>
      </c>
      <c r="CL7">
        <v>134</v>
      </c>
      <c r="CM7" s="35">
        <v>1687</v>
      </c>
      <c r="CN7">
        <v>1701</v>
      </c>
      <c r="CO7">
        <v>702</v>
      </c>
      <c r="CP7">
        <v>655</v>
      </c>
      <c r="CQ7">
        <v>818</v>
      </c>
      <c r="CR7">
        <v>610</v>
      </c>
      <c r="CS7" s="20">
        <v>7</v>
      </c>
      <c r="CT7" s="20">
        <v>15</v>
      </c>
      <c r="CU7" s="35">
        <f t="shared" si="36"/>
        <v>8</v>
      </c>
      <c r="CV7" s="38">
        <f t="shared" si="37"/>
        <v>0.36468357910884064</v>
      </c>
      <c r="CW7" s="38">
        <f t="shared" si="38"/>
        <v>0.78146481237608711</v>
      </c>
      <c r="CX7" s="38">
        <f t="shared" si="39"/>
        <v>0.41678123326724648</v>
      </c>
      <c r="CY7" s="40">
        <v>42.86</v>
      </c>
      <c r="CZ7" s="40">
        <v>39.22</v>
      </c>
      <c r="DA7" s="40">
        <v>26.5</v>
      </c>
      <c r="DB7" s="40">
        <v>43.29</v>
      </c>
      <c r="DC7" s="40">
        <v>40.840000000000003</v>
      </c>
      <c r="DD7" s="40">
        <v>40.299999999999997</v>
      </c>
      <c r="DE7">
        <v>33</v>
      </c>
      <c r="DF7">
        <v>48</v>
      </c>
      <c r="DG7" s="33">
        <f t="shared" si="40"/>
        <v>0.40740740740740738</v>
      </c>
      <c r="DH7">
        <v>-0.1</v>
      </c>
      <c r="DI7">
        <v>-9.6199999999999992</v>
      </c>
      <c r="DJ7">
        <v>31</v>
      </c>
      <c r="DK7">
        <v>27</v>
      </c>
      <c r="DL7">
        <v>16</v>
      </c>
      <c r="DM7" s="1" t="s">
        <v>148</v>
      </c>
      <c r="DN7" t="s">
        <v>149</v>
      </c>
    </row>
    <row r="8" spans="1:118" x14ac:dyDescent="0.25">
      <c r="A8" t="s">
        <v>150</v>
      </c>
      <c r="B8" t="s">
        <v>151</v>
      </c>
      <c r="C8" s="1" t="s">
        <v>130</v>
      </c>
      <c r="D8" s="2" t="s">
        <v>152</v>
      </c>
      <c r="E8">
        <v>81</v>
      </c>
      <c r="F8">
        <f>(44/81)</f>
        <v>0.54320987654320985</v>
      </c>
      <c r="G8" t="s">
        <v>540</v>
      </c>
      <c r="H8">
        <f>(34/26)</f>
        <v>1.3076923076923077</v>
      </c>
      <c r="I8">
        <v>12</v>
      </c>
      <c r="J8">
        <v>20</v>
      </c>
      <c r="K8" s="29">
        <f t="shared" si="0"/>
        <v>32</v>
      </c>
      <c r="L8" s="30">
        <f t="shared" si="1"/>
        <v>2.0544280771837213</v>
      </c>
      <c r="M8" s="20">
        <v>12</v>
      </c>
      <c r="N8" s="20">
        <v>10</v>
      </c>
      <c r="O8" s="20">
        <v>9</v>
      </c>
      <c r="P8" s="20">
        <v>57</v>
      </c>
      <c r="Q8" s="20">
        <v>35</v>
      </c>
      <c r="R8" s="20">
        <v>22</v>
      </c>
      <c r="S8" s="20">
        <v>93</v>
      </c>
      <c r="T8" s="31">
        <f t="shared" si="2"/>
        <v>0.21052631578947367</v>
      </c>
      <c r="U8" s="31">
        <f t="shared" si="3"/>
        <v>0.10526315789473684</v>
      </c>
      <c r="V8">
        <v>56074</v>
      </c>
      <c r="W8" s="32">
        <f t="shared" si="4"/>
        <v>11.537860082304526</v>
      </c>
      <c r="X8" s="23">
        <v>919.67</v>
      </c>
      <c r="Y8" s="32">
        <f t="shared" si="5"/>
        <v>11.353950617283949</v>
      </c>
      <c r="Z8" s="23">
        <v>2796.91</v>
      </c>
      <c r="AA8" s="32">
        <f t="shared" si="6"/>
        <v>34.529753086419753</v>
      </c>
      <c r="AB8" s="33">
        <f t="shared" si="7"/>
        <v>0.24745061319815528</v>
      </c>
      <c r="AC8" s="34">
        <f t="shared" si="8"/>
        <v>91.041666666666671</v>
      </c>
      <c r="AD8" s="20">
        <v>26</v>
      </c>
      <c r="AE8" s="20">
        <v>23</v>
      </c>
      <c r="AF8" s="20">
        <v>78</v>
      </c>
      <c r="AG8" s="20">
        <v>16</v>
      </c>
      <c r="AH8" s="20">
        <v>22</v>
      </c>
      <c r="AI8" s="31">
        <f t="shared" si="9"/>
        <v>0.25</v>
      </c>
      <c r="AJ8" s="31">
        <f t="shared" si="10"/>
        <v>0.39583333333333331</v>
      </c>
      <c r="AK8" s="31">
        <f t="shared" si="11"/>
        <v>0.64583333333333326</v>
      </c>
      <c r="AL8" s="20">
        <v>352</v>
      </c>
      <c r="AM8" s="33">
        <f t="shared" si="12"/>
        <v>0.39729119638826182</v>
      </c>
      <c r="AN8" s="20">
        <v>227</v>
      </c>
      <c r="AO8" s="33">
        <f t="shared" si="13"/>
        <v>0.25620767494356661</v>
      </c>
      <c r="AP8" s="20">
        <v>307</v>
      </c>
      <c r="AQ8" s="33">
        <f t="shared" si="14"/>
        <v>0.34650112866817157</v>
      </c>
      <c r="AR8" s="33">
        <f t="shared" si="15"/>
        <v>0.60794473229706392</v>
      </c>
      <c r="AS8" s="1">
        <v>15</v>
      </c>
      <c r="AT8" s="23">
        <v>17.38</v>
      </c>
      <c r="AU8" s="20">
        <v>17.38</v>
      </c>
      <c r="AV8" s="35">
        <v>8</v>
      </c>
      <c r="AW8" s="36">
        <v>0.26900000000000002</v>
      </c>
      <c r="AX8" s="1">
        <v>11</v>
      </c>
      <c r="AY8" s="36">
        <v>0.60799999999999998</v>
      </c>
      <c r="AZ8" s="20">
        <v>50.37</v>
      </c>
      <c r="BA8" s="20">
        <v>18.04</v>
      </c>
      <c r="BB8" s="36">
        <v>1.7770000000000001</v>
      </c>
      <c r="BC8" s="36">
        <v>-5.6959999999999997</v>
      </c>
      <c r="BD8" s="20">
        <v>48.25</v>
      </c>
      <c r="BE8" s="33">
        <f t="shared" si="16"/>
        <v>0.10983981693363844</v>
      </c>
      <c r="BF8" s="37">
        <f t="shared" si="17"/>
        <v>0.93805309734513276</v>
      </c>
      <c r="BG8" s="35">
        <f t="shared" si="18"/>
        <v>1047.8929142787713</v>
      </c>
      <c r="BH8" s="33">
        <f t="shared" si="19"/>
        <v>4.7892914278771195E-2</v>
      </c>
      <c r="BI8" s="38">
        <f t="shared" si="20"/>
        <v>3.1315580588689422</v>
      </c>
      <c r="BJ8" s="38">
        <f t="shared" si="21"/>
        <v>1.826742201006883</v>
      </c>
      <c r="BK8" s="32">
        <f t="shared" si="22"/>
        <v>28.510226494285995</v>
      </c>
      <c r="BL8" s="32">
        <f t="shared" si="23"/>
        <v>29.488838387682542</v>
      </c>
      <c r="BM8" s="32">
        <f t="shared" si="24"/>
        <v>55.324192373351309</v>
      </c>
      <c r="BN8" s="32">
        <f t="shared" si="25"/>
        <v>55.976600302282343</v>
      </c>
      <c r="BO8" s="32">
        <f t="shared" si="26"/>
        <v>-0.65240792893103361</v>
      </c>
      <c r="BP8" s="20">
        <v>48</v>
      </c>
      <c r="BQ8" s="20">
        <v>28</v>
      </c>
      <c r="BR8" s="35">
        <v>389</v>
      </c>
      <c r="BS8" s="35">
        <v>424</v>
      </c>
      <c r="BT8" s="20">
        <v>198</v>
      </c>
      <c r="BU8" s="20">
        <v>202</v>
      </c>
      <c r="BV8" s="20">
        <v>213</v>
      </c>
      <c r="BW8" s="20">
        <v>204</v>
      </c>
      <c r="BX8" s="20">
        <v>400</v>
      </c>
      <c r="BY8" s="20">
        <v>430</v>
      </c>
      <c r="BZ8" s="33">
        <f t="shared" si="27"/>
        <v>0.48192771084337349</v>
      </c>
      <c r="CA8" s="23">
        <v>2.72</v>
      </c>
      <c r="CB8" s="39">
        <f t="shared" si="28"/>
        <v>2.9709184959394346</v>
      </c>
      <c r="CC8" s="38">
        <f t="shared" si="29"/>
        <v>2.0048774572548811</v>
      </c>
      <c r="CD8" s="38">
        <f t="shared" si="30"/>
        <v>2.0857192902087069</v>
      </c>
      <c r="CE8" s="32">
        <f t="shared" si="31"/>
        <v>26.71014160794406</v>
      </c>
      <c r="CF8" s="32">
        <f t="shared" si="32"/>
        <v>30.849243455179941</v>
      </c>
      <c r="CG8" s="32">
        <f t="shared" si="33"/>
        <v>51.286058825907112</v>
      </c>
      <c r="CH8" s="32">
        <f t="shared" si="34"/>
        <v>58.707339091068327</v>
      </c>
      <c r="CI8" s="32">
        <f t="shared" si="35"/>
        <v>6.7688723362301815</v>
      </c>
      <c r="CJ8">
        <v>3710.95</v>
      </c>
      <c r="CK8">
        <v>124</v>
      </c>
      <c r="CL8">
        <v>129</v>
      </c>
      <c r="CM8" s="35">
        <v>1528</v>
      </c>
      <c r="CN8">
        <v>1779</v>
      </c>
      <c r="CO8">
        <v>698</v>
      </c>
      <c r="CP8">
        <v>839</v>
      </c>
      <c r="CQ8">
        <v>822</v>
      </c>
      <c r="CR8">
        <v>884</v>
      </c>
      <c r="CS8" s="20">
        <v>14</v>
      </c>
      <c r="CT8" s="20">
        <v>19</v>
      </c>
      <c r="CU8" s="35">
        <f t="shared" si="36"/>
        <v>5</v>
      </c>
      <c r="CV8" s="38">
        <f t="shared" si="37"/>
        <v>0.89881228376787825</v>
      </c>
      <c r="CW8" s="38">
        <f t="shared" si="38"/>
        <v>1.2198166708278346</v>
      </c>
      <c r="CX8" s="38">
        <f t="shared" si="39"/>
        <v>0.32100438705995649</v>
      </c>
      <c r="CY8" s="40">
        <v>32.869999999999997</v>
      </c>
      <c r="CZ8" s="40">
        <v>34.020000000000003</v>
      </c>
      <c r="DA8" s="40">
        <v>23.76</v>
      </c>
      <c r="DB8" s="40">
        <v>31.5</v>
      </c>
      <c r="DC8" s="40">
        <v>29.24</v>
      </c>
      <c r="DD8" s="40">
        <v>38.340000000000003</v>
      </c>
      <c r="DE8">
        <v>0</v>
      </c>
      <c r="DF8">
        <v>1</v>
      </c>
      <c r="DG8" s="33">
        <f t="shared" si="40"/>
        <v>0</v>
      </c>
      <c r="DH8">
        <v>0</v>
      </c>
      <c r="DI8">
        <v>0</v>
      </c>
      <c r="DJ8">
        <v>0</v>
      </c>
      <c r="DK8">
        <v>0</v>
      </c>
      <c r="DL8">
        <v>0</v>
      </c>
      <c r="DM8" s="1" t="s">
        <v>153</v>
      </c>
      <c r="DN8" t="s">
        <v>154</v>
      </c>
    </row>
    <row r="9" spans="1:118" x14ac:dyDescent="0.25">
      <c r="A9" t="s">
        <v>155</v>
      </c>
      <c r="B9" t="s">
        <v>156</v>
      </c>
      <c r="C9" s="1" t="s">
        <v>124</v>
      </c>
      <c r="D9" s="2" t="s">
        <v>157</v>
      </c>
      <c r="E9">
        <v>79</v>
      </c>
      <c r="F9">
        <f>(42/79)</f>
        <v>0.53164556962025311</v>
      </c>
      <c r="G9" t="s">
        <v>541</v>
      </c>
      <c r="H9">
        <f>(65/47)</f>
        <v>1.3829787234042554</v>
      </c>
      <c r="I9">
        <v>15</v>
      </c>
      <c r="J9">
        <v>17</v>
      </c>
      <c r="K9" s="29">
        <f t="shared" si="0"/>
        <v>32</v>
      </c>
      <c r="L9" s="30">
        <f t="shared" si="1"/>
        <v>1.7513188099545447</v>
      </c>
      <c r="M9" s="20">
        <v>13</v>
      </c>
      <c r="N9" s="20">
        <v>10</v>
      </c>
      <c r="O9" s="20">
        <v>6</v>
      </c>
      <c r="P9" s="20">
        <v>110</v>
      </c>
      <c r="Q9" s="20">
        <v>40</v>
      </c>
      <c r="R9" s="20">
        <v>45</v>
      </c>
      <c r="S9" s="20">
        <v>137</v>
      </c>
      <c r="T9" s="31">
        <f t="shared" si="2"/>
        <v>0.13636363636363635</v>
      </c>
      <c r="U9" s="31">
        <f t="shared" si="3"/>
        <v>7.6923076923076927E-2</v>
      </c>
      <c r="V9">
        <v>65779</v>
      </c>
      <c r="W9" s="32">
        <f t="shared" si="4"/>
        <v>13.877426160337553</v>
      </c>
      <c r="X9" s="23">
        <v>1047.33</v>
      </c>
      <c r="Y9" s="32">
        <f t="shared" si="5"/>
        <v>13.257341772151898</v>
      </c>
      <c r="Z9" s="23">
        <v>2802.5</v>
      </c>
      <c r="AA9" s="32">
        <f t="shared" si="6"/>
        <v>35.474683544303801</v>
      </c>
      <c r="AB9" s="33">
        <f t="shared" si="7"/>
        <v>0.27204577864477131</v>
      </c>
      <c r="AC9" s="34">
        <f t="shared" si="8"/>
        <v>142.97297297297297</v>
      </c>
      <c r="AD9" s="20">
        <v>24</v>
      </c>
      <c r="AE9" s="20">
        <v>25</v>
      </c>
      <c r="AF9" s="20">
        <v>111</v>
      </c>
      <c r="AG9" s="20">
        <v>18</v>
      </c>
      <c r="AH9" s="20">
        <v>18</v>
      </c>
      <c r="AI9" s="31">
        <f t="shared" si="9"/>
        <v>0.35135135135135137</v>
      </c>
      <c r="AJ9" s="31">
        <f t="shared" si="10"/>
        <v>0.43243243243243246</v>
      </c>
      <c r="AK9" s="31">
        <f t="shared" si="11"/>
        <v>0.78378378378378377</v>
      </c>
      <c r="AL9" s="20">
        <v>340</v>
      </c>
      <c r="AM9" s="33">
        <f t="shared" si="12"/>
        <v>0.33763654419066536</v>
      </c>
      <c r="AN9" s="20">
        <v>317</v>
      </c>
      <c r="AO9" s="33">
        <f t="shared" si="13"/>
        <v>0.31479642502482624</v>
      </c>
      <c r="AP9" s="20">
        <v>350</v>
      </c>
      <c r="AQ9" s="33">
        <f t="shared" si="14"/>
        <v>0.34756703078450846</v>
      </c>
      <c r="AR9" s="33">
        <f t="shared" si="15"/>
        <v>0.51750380517503802</v>
      </c>
      <c r="AS9" s="1">
        <v>12</v>
      </c>
      <c r="AT9" s="23">
        <v>5.37</v>
      </c>
      <c r="AU9" s="20">
        <v>17.739999999999998</v>
      </c>
      <c r="AV9" s="35">
        <v>2</v>
      </c>
      <c r="AW9" s="36">
        <v>0.70899999999999996</v>
      </c>
      <c r="AX9" s="1">
        <v>6</v>
      </c>
      <c r="AY9" s="36">
        <v>0.96599999999999997</v>
      </c>
      <c r="AZ9" s="20">
        <v>50.44</v>
      </c>
      <c r="BA9" s="20">
        <v>18.829999999999998</v>
      </c>
      <c r="BB9" s="36">
        <v>0.59499999999999997</v>
      </c>
      <c r="BC9" s="36">
        <v>-4.5600000000000005</v>
      </c>
      <c r="BD9" s="20">
        <v>46.91</v>
      </c>
      <c r="BE9" s="33">
        <f t="shared" si="16"/>
        <v>6.9943289224952743E-2</v>
      </c>
      <c r="BF9" s="37">
        <f t="shared" si="17"/>
        <v>0.92248062015503873</v>
      </c>
      <c r="BG9" s="35">
        <f t="shared" si="18"/>
        <v>992.42390937999153</v>
      </c>
      <c r="BH9" s="33">
        <f t="shared" si="19"/>
        <v>-7.5760906200085243E-3</v>
      </c>
      <c r="BI9" s="38">
        <f t="shared" si="20"/>
        <v>2.1196757468992584</v>
      </c>
      <c r="BJ9" s="38">
        <f t="shared" si="21"/>
        <v>2.2915413479991984</v>
      </c>
      <c r="BK9" s="32">
        <f t="shared" si="22"/>
        <v>30.305634327289393</v>
      </c>
      <c r="BL9" s="32">
        <f t="shared" si="23"/>
        <v>29.560883389189659</v>
      </c>
      <c r="BM9" s="32">
        <f t="shared" si="24"/>
        <v>54.538684082380918</v>
      </c>
      <c r="BN9" s="32">
        <f t="shared" si="25"/>
        <v>52.53358540288162</v>
      </c>
      <c r="BO9" s="32">
        <f t="shared" si="26"/>
        <v>2.005098679499298</v>
      </c>
      <c r="BP9" s="20">
        <v>37</v>
      </c>
      <c r="BQ9" s="20">
        <v>40</v>
      </c>
      <c r="BR9" s="35">
        <v>492</v>
      </c>
      <c r="BS9" s="35">
        <v>476</v>
      </c>
      <c r="BT9" s="20">
        <v>183</v>
      </c>
      <c r="BU9" s="20">
        <v>186</v>
      </c>
      <c r="BV9" s="20">
        <v>240</v>
      </c>
      <c r="BW9" s="20">
        <v>215</v>
      </c>
      <c r="BX9" s="20">
        <v>485</v>
      </c>
      <c r="BY9" s="20">
        <v>429</v>
      </c>
      <c r="BZ9" s="33">
        <f t="shared" si="27"/>
        <v>0.53063457330415753</v>
      </c>
      <c r="CA9" s="23">
        <v>5.99</v>
      </c>
      <c r="CB9" s="39">
        <f t="shared" si="28"/>
        <v>7.0210073552983854</v>
      </c>
      <c r="CC9" s="38">
        <f t="shared" si="29"/>
        <v>1.8031201818799489</v>
      </c>
      <c r="CD9" s="38">
        <f t="shared" si="30"/>
        <v>2.1951028301147204</v>
      </c>
      <c r="CE9" s="32">
        <f t="shared" si="31"/>
        <v>27.815088718739386</v>
      </c>
      <c r="CF9" s="32">
        <f t="shared" si="32"/>
        <v>29.665246818407507</v>
      </c>
      <c r="CG9" s="32">
        <f t="shared" si="33"/>
        <v>49.954268691039282</v>
      </c>
      <c r="CH9" s="32">
        <f t="shared" si="34"/>
        <v>54.893250058797399</v>
      </c>
      <c r="CI9" s="32">
        <f t="shared" si="35"/>
        <v>6.9440800472574153</v>
      </c>
      <c r="CJ9">
        <v>3826.7</v>
      </c>
      <c r="CK9">
        <v>115</v>
      </c>
      <c r="CL9">
        <v>140</v>
      </c>
      <c r="CM9" s="35">
        <v>1659</v>
      </c>
      <c r="CN9">
        <v>1752</v>
      </c>
      <c r="CO9">
        <v>630</v>
      </c>
      <c r="CP9">
        <v>757</v>
      </c>
      <c r="CQ9">
        <v>782</v>
      </c>
      <c r="CR9">
        <v>852</v>
      </c>
      <c r="CS9" s="20">
        <v>3</v>
      </c>
      <c r="CT9" s="20">
        <v>11</v>
      </c>
      <c r="CU9" s="35">
        <f t="shared" si="36"/>
        <v>8</v>
      </c>
      <c r="CV9" s="38">
        <f t="shared" si="37"/>
        <v>0.16418613843323859</v>
      </c>
      <c r="CW9" s="38">
        <f t="shared" si="38"/>
        <v>0.60201584092187477</v>
      </c>
      <c r="CX9" s="38">
        <f t="shared" si="39"/>
        <v>0.43782970248863617</v>
      </c>
      <c r="CY9" s="40">
        <v>38.799999999999997</v>
      </c>
      <c r="CZ9" s="40">
        <v>38.729999999999997</v>
      </c>
      <c r="DA9" s="40">
        <v>36.24</v>
      </c>
      <c r="DB9" s="40">
        <v>52.55</v>
      </c>
      <c r="DC9" s="40">
        <v>34.28</v>
      </c>
      <c r="DD9" s="40">
        <v>39.25</v>
      </c>
      <c r="DE9">
        <v>30</v>
      </c>
      <c r="DF9">
        <v>70</v>
      </c>
      <c r="DG9" s="33">
        <f t="shared" si="40"/>
        <v>0.3</v>
      </c>
      <c r="DH9">
        <v>-1.02</v>
      </c>
      <c r="DI9">
        <v>-1.49</v>
      </c>
      <c r="DJ9">
        <v>32</v>
      </c>
      <c r="DK9">
        <v>36</v>
      </c>
      <c r="DL9">
        <v>30</v>
      </c>
      <c r="DM9" s="1" t="s">
        <v>158</v>
      </c>
      <c r="DN9" t="s">
        <v>159</v>
      </c>
    </row>
    <row r="10" spans="1:118" ht="26.25" x14ac:dyDescent="0.25">
      <c r="A10" t="s">
        <v>160</v>
      </c>
      <c r="B10" t="s">
        <v>161</v>
      </c>
      <c r="C10" s="1" t="s">
        <v>162</v>
      </c>
      <c r="D10" s="2" t="s">
        <v>163</v>
      </c>
      <c r="E10">
        <v>72</v>
      </c>
      <c r="F10">
        <f>(38/72)</f>
        <v>0.52777777777777779</v>
      </c>
      <c r="G10" t="s">
        <v>540</v>
      </c>
      <c r="H10">
        <f>(100/51)</f>
        <v>1.9607843137254901</v>
      </c>
      <c r="I10">
        <v>11</v>
      </c>
      <c r="J10">
        <v>16</v>
      </c>
      <c r="K10" s="29">
        <f t="shared" si="0"/>
        <v>27</v>
      </c>
      <c r="L10" s="30">
        <f t="shared" si="1"/>
        <v>1.6332017138536503</v>
      </c>
      <c r="M10" s="20">
        <v>10</v>
      </c>
      <c r="N10" s="20">
        <v>10</v>
      </c>
      <c r="O10" s="20">
        <v>4</v>
      </c>
      <c r="P10" s="20">
        <v>127</v>
      </c>
      <c r="Q10" s="20">
        <v>61</v>
      </c>
      <c r="R10" s="20">
        <v>51</v>
      </c>
      <c r="S10" s="20">
        <v>133</v>
      </c>
      <c r="T10" s="31">
        <f t="shared" si="2"/>
        <v>8.6614173228346455E-2</v>
      </c>
      <c r="U10" s="31">
        <f t="shared" si="3"/>
        <v>4.6025104602510462E-2</v>
      </c>
      <c r="V10">
        <v>59515</v>
      </c>
      <c r="W10" s="32">
        <f t="shared" si="4"/>
        <v>13.77662037037037</v>
      </c>
      <c r="X10" s="23">
        <v>956.17</v>
      </c>
      <c r="Y10" s="32">
        <f t="shared" si="5"/>
        <v>13.280138888888889</v>
      </c>
      <c r="Z10" s="23">
        <v>2438.8000000000002</v>
      </c>
      <c r="AA10" s="32">
        <f t="shared" si="6"/>
        <v>33.872222222222227</v>
      </c>
      <c r="AB10" s="33">
        <f t="shared" si="7"/>
        <v>0.28164313675820402</v>
      </c>
      <c r="AC10" s="34">
        <f t="shared" si="8"/>
        <v>122.4390243902439</v>
      </c>
      <c r="AD10" s="20">
        <v>23</v>
      </c>
      <c r="AE10" s="20">
        <v>29</v>
      </c>
      <c r="AF10" s="20">
        <v>61</v>
      </c>
      <c r="AG10" s="20">
        <v>27</v>
      </c>
      <c r="AH10" s="20">
        <v>20</v>
      </c>
      <c r="AI10" s="31">
        <f t="shared" si="9"/>
        <v>0.24390243902439024</v>
      </c>
      <c r="AJ10" s="31">
        <f t="shared" si="10"/>
        <v>0.34146341463414637</v>
      </c>
      <c r="AK10" s="31">
        <f t="shared" si="11"/>
        <v>0.58536585365853666</v>
      </c>
      <c r="AL10" s="20">
        <v>323</v>
      </c>
      <c r="AM10" s="33">
        <f t="shared" si="12"/>
        <v>0.36008918617614272</v>
      </c>
      <c r="AN10" s="20">
        <v>257</v>
      </c>
      <c r="AO10" s="33">
        <f t="shared" si="13"/>
        <v>0.28651059085841696</v>
      </c>
      <c r="AP10" s="20">
        <v>317</v>
      </c>
      <c r="AQ10" s="33">
        <f t="shared" si="14"/>
        <v>0.35340022296544038</v>
      </c>
      <c r="AR10" s="33">
        <f t="shared" si="15"/>
        <v>0.55689655172413788</v>
      </c>
      <c r="AS10" s="1">
        <v>14</v>
      </c>
      <c r="AT10" s="23">
        <v>5.16</v>
      </c>
      <c r="AU10" s="20">
        <v>17.41</v>
      </c>
      <c r="AV10" s="35">
        <v>6</v>
      </c>
      <c r="AW10" s="36">
        <v>0.621</v>
      </c>
      <c r="AX10" s="1">
        <v>7</v>
      </c>
      <c r="AY10" s="36">
        <v>0.53900000000000003</v>
      </c>
      <c r="AZ10" s="20">
        <v>50.45</v>
      </c>
      <c r="BA10" s="20">
        <v>18.649999999999999</v>
      </c>
      <c r="BB10" s="36">
        <v>3.2530000000000001</v>
      </c>
      <c r="BC10" s="36">
        <v>5.3460000000000001</v>
      </c>
      <c r="BD10" s="20">
        <v>52.33</v>
      </c>
      <c r="BE10" s="33">
        <f t="shared" si="16"/>
        <v>8.1673306772908363E-2</v>
      </c>
      <c r="BF10" s="37">
        <f t="shared" si="17"/>
        <v>0.92183908045977014</v>
      </c>
      <c r="BG10" s="35">
        <f t="shared" si="18"/>
        <v>1003.5123872326785</v>
      </c>
      <c r="BH10" s="33">
        <f t="shared" si="19"/>
        <v>3.5123872326785072E-3</v>
      </c>
      <c r="BI10" s="38">
        <f t="shared" si="20"/>
        <v>2.5727642574019267</v>
      </c>
      <c r="BJ10" s="38">
        <f t="shared" si="21"/>
        <v>2.1335118232113537</v>
      </c>
      <c r="BK10" s="32">
        <f t="shared" si="22"/>
        <v>31.500674566238224</v>
      </c>
      <c r="BL10" s="32">
        <f t="shared" si="23"/>
        <v>27.296401267557027</v>
      </c>
      <c r="BM10" s="32">
        <f t="shared" si="24"/>
        <v>59.487329658951857</v>
      </c>
      <c r="BN10" s="32">
        <f t="shared" si="25"/>
        <v>51.329784452555508</v>
      </c>
      <c r="BO10" s="32">
        <f t="shared" si="26"/>
        <v>8.1575452063963496</v>
      </c>
      <c r="BP10" s="20">
        <v>41</v>
      </c>
      <c r="BQ10" s="20">
        <v>34</v>
      </c>
      <c r="BR10" s="35">
        <v>461</v>
      </c>
      <c r="BS10" s="35">
        <v>401</v>
      </c>
      <c r="BT10" s="20">
        <v>205</v>
      </c>
      <c r="BU10" s="20">
        <v>156</v>
      </c>
      <c r="BV10" s="20">
        <v>241</v>
      </c>
      <c r="BW10" s="20">
        <v>227</v>
      </c>
      <c r="BX10" s="20">
        <v>448</v>
      </c>
      <c r="BY10" s="20">
        <v>394</v>
      </c>
      <c r="BZ10" s="33">
        <f t="shared" si="27"/>
        <v>0.53206650831353919</v>
      </c>
      <c r="CA10" s="23">
        <v>3.38</v>
      </c>
      <c r="CB10" s="39">
        <f t="shared" si="28"/>
        <v>1.8950279650170412</v>
      </c>
      <c r="CC10" s="38">
        <f t="shared" si="29"/>
        <v>2.2290693045952441</v>
      </c>
      <c r="CD10" s="38">
        <f t="shared" si="30"/>
        <v>2.140614173460512</v>
      </c>
      <c r="CE10" s="32">
        <f t="shared" si="31"/>
        <v>29.066356090872905</v>
      </c>
      <c r="CF10" s="32">
        <f t="shared" si="32"/>
        <v>27.562618861582461</v>
      </c>
      <c r="CG10" s="32">
        <f t="shared" si="33"/>
        <v>54.859872329760726</v>
      </c>
      <c r="CH10" s="32">
        <f t="shared" si="34"/>
        <v>52.117763264584042</v>
      </c>
      <c r="CI10" s="32">
        <f t="shared" si="35"/>
        <v>5.415436141219665</v>
      </c>
      <c r="CJ10">
        <v>3391.55</v>
      </c>
      <c r="CK10">
        <v>126</v>
      </c>
      <c r="CL10">
        <v>121</v>
      </c>
      <c r="CM10" s="35">
        <v>1517</v>
      </c>
      <c r="CN10">
        <v>1437</v>
      </c>
      <c r="CO10">
        <v>644</v>
      </c>
      <c r="CP10">
        <v>624</v>
      </c>
      <c r="CQ10">
        <v>814</v>
      </c>
      <c r="CR10">
        <v>764</v>
      </c>
      <c r="CS10" s="20">
        <v>4</v>
      </c>
      <c r="CT10" s="20">
        <v>17</v>
      </c>
      <c r="CU10" s="35">
        <f t="shared" si="36"/>
        <v>13</v>
      </c>
      <c r="CV10" s="38">
        <f t="shared" si="37"/>
        <v>0.24195580945980008</v>
      </c>
      <c r="CW10" s="38">
        <f t="shared" si="38"/>
        <v>1.0283121902041501</v>
      </c>
      <c r="CX10" s="38">
        <f t="shared" si="39"/>
        <v>0.78635638074435021</v>
      </c>
      <c r="CY10" s="40">
        <v>40.4</v>
      </c>
      <c r="CZ10" s="40">
        <v>34.31</v>
      </c>
      <c r="DA10" s="40">
        <v>47.61</v>
      </c>
      <c r="DB10" s="40">
        <v>26.33</v>
      </c>
      <c r="DC10" s="40">
        <v>42.56</v>
      </c>
      <c r="DD10" s="40">
        <v>35.5</v>
      </c>
      <c r="DE10">
        <v>0</v>
      </c>
      <c r="DF10">
        <v>2</v>
      </c>
      <c r="DG10" s="33">
        <f t="shared" si="40"/>
        <v>0</v>
      </c>
      <c r="DH10">
        <v>-0.01</v>
      </c>
      <c r="DI10">
        <v>-0.24</v>
      </c>
      <c r="DJ10">
        <v>1</v>
      </c>
      <c r="DK10">
        <v>0</v>
      </c>
      <c r="DL10">
        <v>0</v>
      </c>
      <c r="DM10" s="2" t="s">
        <v>164</v>
      </c>
      <c r="DN10" t="s">
        <v>165</v>
      </c>
    </row>
    <row r="11" spans="1:118" x14ac:dyDescent="0.25">
      <c r="A11" t="s">
        <v>166</v>
      </c>
      <c r="B11" t="s">
        <v>167</v>
      </c>
      <c r="C11" s="1" t="s">
        <v>168</v>
      </c>
      <c r="D11" s="2" t="s">
        <v>125</v>
      </c>
      <c r="E11">
        <v>72</v>
      </c>
      <c r="F11">
        <f>(37/72)</f>
        <v>0.51388888888888884</v>
      </c>
      <c r="G11" t="s">
        <v>539</v>
      </c>
      <c r="H11">
        <f>(51/30)</f>
        <v>1.7</v>
      </c>
      <c r="I11">
        <v>16</v>
      </c>
      <c r="J11">
        <v>13</v>
      </c>
      <c r="K11" s="29">
        <f t="shared" si="0"/>
        <v>29</v>
      </c>
      <c r="L11" s="30">
        <f t="shared" si="1"/>
        <v>2.0375104900564023</v>
      </c>
      <c r="M11" s="20">
        <v>15</v>
      </c>
      <c r="N11" s="20">
        <v>3</v>
      </c>
      <c r="O11" s="20">
        <v>8</v>
      </c>
      <c r="P11" s="20">
        <v>86</v>
      </c>
      <c r="Q11" s="20">
        <v>37</v>
      </c>
      <c r="R11" s="20">
        <v>32</v>
      </c>
      <c r="S11" s="20">
        <v>117</v>
      </c>
      <c r="T11" s="31">
        <f t="shared" si="2"/>
        <v>0.18604651162790697</v>
      </c>
      <c r="U11" s="31">
        <f t="shared" si="3"/>
        <v>0.1032258064516129</v>
      </c>
      <c r="V11">
        <v>51239</v>
      </c>
      <c r="W11" s="32">
        <f t="shared" si="4"/>
        <v>11.860879629629631</v>
      </c>
      <c r="X11" s="23">
        <v>832.77</v>
      </c>
      <c r="Y11" s="32">
        <f t="shared" si="5"/>
        <v>11.56625</v>
      </c>
      <c r="Z11" s="23">
        <v>2621.29</v>
      </c>
      <c r="AA11" s="32">
        <f t="shared" si="6"/>
        <v>36.406805555555557</v>
      </c>
      <c r="AB11" s="33">
        <f t="shared" si="7"/>
        <v>0.24109888073745098</v>
      </c>
      <c r="AC11" s="34">
        <f t="shared" si="8"/>
        <v>37.25</v>
      </c>
      <c r="AD11" s="20">
        <v>9</v>
      </c>
      <c r="AE11" s="20">
        <v>46</v>
      </c>
      <c r="AF11" s="20">
        <v>68</v>
      </c>
      <c r="AG11" s="20">
        <v>19</v>
      </c>
      <c r="AH11" s="20">
        <v>26</v>
      </c>
      <c r="AI11" s="31">
        <f t="shared" si="9"/>
        <v>0.41666666666666669</v>
      </c>
      <c r="AJ11" s="31">
        <f t="shared" si="10"/>
        <v>0.30555555555555558</v>
      </c>
      <c r="AK11" s="31">
        <f t="shared" si="11"/>
        <v>0.72222222222222232</v>
      </c>
      <c r="AL11" s="20">
        <v>250</v>
      </c>
      <c r="AM11" s="33">
        <f t="shared" si="12"/>
        <v>0.34674063800277394</v>
      </c>
      <c r="AN11" s="20">
        <v>222</v>
      </c>
      <c r="AO11" s="33">
        <f t="shared" si="13"/>
        <v>0.30790568654646322</v>
      </c>
      <c r="AP11" s="20">
        <v>249</v>
      </c>
      <c r="AQ11" s="33">
        <f t="shared" si="14"/>
        <v>0.34535367545076284</v>
      </c>
      <c r="AR11" s="33">
        <f t="shared" si="15"/>
        <v>0.52966101694915257</v>
      </c>
      <c r="AS11" s="1">
        <v>12</v>
      </c>
      <c r="AT11" s="23">
        <v>5.64</v>
      </c>
      <c r="AU11" s="20">
        <v>17.18</v>
      </c>
      <c r="AV11" s="35">
        <v>10</v>
      </c>
      <c r="AW11" s="36">
        <v>3.1E-2</v>
      </c>
      <c r="AX11" s="1">
        <v>12</v>
      </c>
      <c r="AY11" s="36">
        <v>-6.5000000000000002E-2</v>
      </c>
      <c r="AZ11" s="20">
        <v>50.01</v>
      </c>
      <c r="BA11" s="20">
        <v>17.89</v>
      </c>
      <c r="BB11" s="36">
        <v>-4.2000000000000003E-2</v>
      </c>
      <c r="BC11" s="36">
        <v>3.3890000000000002</v>
      </c>
      <c r="BD11" s="20">
        <v>51.74</v>
      </c>
      <c r="BE11" s="33">
        <f t="shared" si="16"/>
        <v>8.0536912751677847E-2</v>
      </c>
      <c r="BF11" s="37">
        <f t="shared" si="17"/>
        <v>0.91747572815533984</v>
      </c>
      <c r="BG11" s="35">
        <f t="shared" si="18"/>
        <v>998.01264090701773</v>
      </c>
      <c r="BH11" s="33">
        <f t="shared" si="19"/>
        <v>-1.9873590929823104E-3</v>
      </c>
      <c r="BI11" s="38">
        <f t="shared" si="20"/>
        <v>2.5937533772830434</v>
      </c>
      <c r="BJ11" s="38">
        <f t="shared" si="21"/>
        <v>2.4496559674339853</v>
      </c>
      <c r="BK11" s="32">
        <f t="shared" si="22"/>
        <v>32.20577110126446</v>
      </c>
      <c r="BL11" s="32">
        <f t="shared" si="23"/>
        <v>29.68406642890594</v>
      </c>
      <c r="BM11" s="32">
        <f t="shared" si="24"/>
        <v>57.999207464245828</v>
      </c>
      <c r="BN11" s="32">
        <f t="shared" si="25"/>
        <v>53.027846824453327</v>
      </c>
      <c r="BO11" s="32">
        <f t="shared" si="26"/>
        <v>4.9713606397925005</v>
      </c>
      <c r="BP11" s="20">
        <v>36</v>
      </c>
      <c r="BQ11" s="20">
        <v>34</v>
      </c>
      <c r="BR11" s="35">
        <v>411</v>
      </c>
      <c r="BS11" s="35">
        <v>378</v>
      </c>
      <c r="BT11" s="20">
        <v>145</v>
      </c>
      <c r="BU11" s="20">
        <v>139</v>
      </c>
      <c r="BV11" s="20">
        <v>213</v>
      </c>
      <c r="BW11" s="20">
        <v>185</v>
      </c>
      <c r="BX11" s="20">
        <v>415</v>
      </c>
      <c r="BY11" s="20">
        <v>368</v>
      </c>
      <c r="BZ11" s="33">
        <f t="shared" si="27"/>
        <v>0.53001277139208169</v>
      </c>
      <c r="CA11" s="23">
        <v>2.96</v>
      </c>
      <c r="CB11" s="39">
        <f t="shared" si="28"/>
        <v>0.71549623301284093</v>
      </c>
      <c r="CC11" s="38">
        <f t="shared" si="29"/>
        <v>2.0176642253075454</v>
      </c>
      <c r="CD11" s="38">
        <f t="shared" si="30"/>
        <v>1.8611213112750635</v>
      </c>
      <c r="CE11" s="32">
        <f t="shared" si="31"/>
        <v>29.638791723483251</v>
      </c>
      <c r="CF11" s="32">
        <f t="shared" si="32"/>
        <v>28.160330868732036</v>
      </c>
      <c r="CG11" s="32">
        <f t="shared" si="33"/>
        <v>54.320391169271247</v>
      </c>
      <c r="CH11" s="32">
        <f t="shared" si="34"/>
        <v>51.989641115898742</v>
      </c>
      <c r="CI11" s="32">
        <f t="shared" si="35"/>
        <v>2.6406105864199958</v>
      </c>
      <c r="CJ11">
        <v>3449.5333329999999</v>
      </c>
      <c r="CK11">
        <v>116</v>
      </c>
      <c r="CL11">
        <v>107</v>
      </c>
      <c r="CM11" s="35">
        <v>1588</v>
      </c>
      <c r="CN11">
        <v>1512</v>
      </c>
      <c r="CO11">
        <v>629</v>
      </c>
      <c r="CP11">
        <v>585</v>
      </c>
      <c r="CQ11">
        <v>790</v>
      </c>
      <c r="CR11">
        <v>785</v>
      </c>
      <c r="CS11" s="20">
        <v>9</v>
      </c>
      <c r="CT11" s="20">
        <v>16</v>
      </c>
      <c r="CU11" s="35">
        <f t="shared" si="36"/>
        <v>7</v>
      </c>
      <c r="CV11" s="38">
        <f t="shared" si="37"/>
        <v>0.632330841741642</v>
      </c>
      <c r="CW11" s="38">
        <f t="shared" si="38"/>
        <v>1.124143718651808</v>
      </c>
      <c r="CX11" s="38">
        <f t="shared" si="39"/>
        <v>0.49181287691016606</v>
      </c>
      <c r="CY11" s="40">
        <v>38.92</v>
      </c>
      <c r="CZ11" s="40">
        <v>34.9</v>
      </c>
      <c r="DA11" s="40">
        <v>20.87</v>
      </c>
      <c r="DB11" s="40">
        <v>26.62</v>
      </c>
      <c r="DC11" s="40">
        <v>28.6</v>
      </c>
      <c r="DD11" s="40">
        <v>33.69</v>
      </c>
      <c r="DE11">
        <v>6</v>
      </c>
      <c r="DF11">
        <v>7</v>
      </c>
      <c r="DG11" s="33">
        <f t="shared" si="40"/>
        <v>0.46153846153846156</v>
      </c>
      <c r="DH11">
        <v>-0.04</v>
      </c>
      <c r="DI11">
        <v>0.55000000000000004</v>
      </c>
      <c r="DJ11">
        <v>8</v>
      </c>
      <c r="DK11">
        <v>3</v>
      </c>
      <c r="DL11">
        <v>2</v>
      </c>
      <c r="DM11" s="1" t="s">
        <v>169</v>
      </c>
      <c r="DN11" t="s">
        <v>170</v>
      </c>
    </row>
    <row r="12" spans="1:118" x14ac:dyDescent="0.25">
      <c r="A12" t="s">
        <v>155</v>
      </c>
      <c r="B12" t="s">
        <v>171</v>
      </c>
      <c r="C12" s="1" t="s">
        <v>172</v>
      </c>
      <c r="D12" s="2" t="s">
        <v>125</v>
      </c>
      <c r="E12">
        <v>77</v>
      </c>
      <c r="F12">
        <f>(36/77)</f>
        <v>0.46753246753246752</v>
      </c>
      <c r="G12" t="s">
        <v>539</v>
      </c>
      <c r="H12">
        <f>(24/11)</f>
        <v>2.1818181818181817</v>
      </c>
      <c r="I12">
        <v>15</v>
      </c>
      <c r="J12">
        <v>13</v>
      </c>
      <c r="K12" s="29">
        <f t="shared" si="0"/>
        <v>28</v>
      </c>
      <c r="L12" s="30">
        <f t="shared" si="1"/>
        <v>1.6583584225852623</v>
      </c>
      <c r="M12" s="20">
        <v>14</v>
      </c>
      <c r="N12" s="20">
        <v>9</v>
      </c>
      <c r="O12" s="20">
        <v>4</v>
      </c>
      <c r="P12" s="20">
        <v>92</v>
      </c>
      <c r="Q12" s="20">
        <v>39</v>
      </c>
      <c r="R12" s="20">
        <v>50</v>
      </c>
      <c r="S12" s="20">
        <v>136</v>
      </c>
      <c r="T12" s="31">
        <f t="shared" si="2"/>
        <v>0.16304347826086957</v>
      </c>
      <c r="U12" s="31">
        <f t="shared" si="3"/>
        <v>8.2872928176795577E-2</v>
      </c>
      <c r="V12">
        <v>60783</v>
      </c>
      <c r="W12" s="32">
        <f t="shared" si="4"/>
        <v>13.156493506493508</v>
      </c>
      <c r="X12" s="23">
        <v>965.91</v>
      </c>
      <c r="Y12" s="32">
        <f t="shared" si="5"/>
        <v>12.544285714285714</v>
      </c>
      <c r="Z12" s="23">
        <v>2763.67</v>
      </c>
      <c r="AA12" s="32">
        <f t="shared" si="6"/>
        <v>35.891818181818181</v>
      </c>
      <c r="AB12" s="33">
        <f t="shared" si="7"/>
        <v>0.25898626655012091</v>
      </c>
      <c r="AC12" s="34">
        <f t="shared" si="8"/>
        <v>104.76923076923077</v>
      </c>
      <c r="AD12" s="20">
        <v>29</v>
      </c>
      <c r="AE12" s="20">
        <v>101</v>
      </c>
      <c r="AF12" s="20">
        <v>63</v>
      </c>
      <c r="AG12" s="20">
        <v>22</v>
      </c>
      <c r="AH12" s="20">
        <v>32</v>
      </c>
      <c r="AI12" s="31">
        <f t="shared" si="9"/>
        <v>0.35897435897435898</v>
      </c>
      <c r="AJ12" s="31">
        <f t="shared" si="10"/>
        <v>0.33333333333333331</v>
      </c>
      <c r="AK12" s="31">
        <f t="shared" si="11"/>
        <v>0.69230769230769229</v>
      </c>
      <c r="AL12" s="20">
        <v>298</v>
      </c>
      <c r="AM12" s="33">
        <f t="shared" si="12"/>
        <v>0.33408071748878926</v>
      </c>
      <c r="AN12" s="20">
        <v>254</v>
      </c>
      <c r="AO12" s="33">
        <f t="shared" si="13"/>
        <v>0.28475336322869954</v>
      </c>
      <c r="AP12" s="20">
        <v>340</v>
      </c>
      <c r="AQ12" s="33">
        <f t="shared" si="14"/>
        <v>0.3811659192825112</v>
      </c>
      <c r="AR12" s="33">
        <f t="shared" si="15"/>
        <v>0.53985507246376807</v>
      </c>
      <c r="AS12" s="1">
        <v>10</v>
      </c>
      <c r="AT12" s="23">
        <v>6.62</v>
      </c>
      <c r="AU12" s="20">
        <v>17.32</v>
      </c>
      <c r="AV12" s="35">
        <v>7</v>
      </c>
      <c r="AW12" s="36">
        <v>0.11700000000000001</v>
      </c>
      <c r="AX12" s="1">
        <v>8</v>
      </c>
      <c r="AY12" s="36">
        <v>0.42399999999999999</v>
      </c>
      <c r="AZ12" s="20">
        <v>50.29</v>
      </c>
      <c r="BA12" s="20">
        <v>17.72</v>
      </c>
      <c r="BB12" s="36">
        <v>1.034</v>
      </c>
      <c r="BC12" s="36">
        <v>-3.0449999999999999</v>
      </c>
      <c r="BD12" s="20">
        <v>47.77</v>
      </c>
      <c r="BE12" s="33">
        <f t="shared" si="16"/>
        <v>8.590308370044053E-2</v>
      </c>
      <c r="BF12" s="37">
        <f t="shared" si="17"/>
        <v>0.91874999999999996</v>
      </c>
      <c r="BG12" s="35">
        <f t="shared" si="18"/>
        <v>1004.6530837004406</v>
      </c>
      <c r="BH12" s="33">
        <f t="shared" si="19"/>
        <v>4.6530837004404857E-3</v>
      </c>
      <c r="BI12" s="38">
        <f t="shared" si="20"/>
        <v>2.422585955213219</v>
      </c>
      <c r="BJ12" s="38">
        <f t="shared" si="21"/>
        <v>2.422585955213219</v>
      </c>
      <c r="BK12" s="32">
        <f t="shared" si="22"/>
        <v>28.201385222225674</v>
      </c>
      <c r="BL12" s="32">
        <f t="shared" si="23"/>
        <v>29.816442525701152</v>
      </c>
      <c r="BM12" s="32">
        <f t="shared" si="24"/>
        <v>55.098301083951924</v>
      </c>
      <c r="BN12" s="32">
        <f t="shared" si="25"/>
        <v>58.01782774792683</v>
      </c>
      <c r="BO12" s="32">
        <f t="shared" si="26"/>
        <v>-2.9195266639749065</v>
      </c>
      <c r="BP12" s="20">
        <v>39</v>
      </c>
      <c r="BQ12" s="20">
        <v>39</v>
      </c>
      <c r="BR12" s="35">
        <v>415</v>
      </c>
      <c r="BS12" s="35">
        <v>441</v>
      </c>
      <c r="BT12" s="20">
        <v>173</v>
      </c>
      <c r="BU12" s="20">
        <v>200</v>
      </c>
      <c r="BV12" s="20">
        <v>260</v>
      </c>
      <c r="BW12" s="20">
        <v>254</v>
      </c>
      <c r="BX12" s="20">
        <v>459</v>
      </c>
      <c r="BY12" s="20">
        <v>433</v>
      </c>
      <c r="BZ12" s="33">
        <f t="shared" si="27"/>
        <v>0.51457399103139012</v>
      </c>
      <c r="CA12" s="23">
        <v>2.78</v>
      </c>
      <c r="CB12" s="39">
        <f t="shared" si="28"/>
        <v>-0.4970484031053406</v>
      </c>
      <c r="CC12" s="38">
        <f t="shared" si="29"/>
        <v>2.3131984416914926</v>
      </c>
      <c r="CD12" s="38">
        <f t="shared" si="30"/>
        <v>2.5234892091179919</v>
      </c>
      <c r="CE12" s="32">
        <f t="shared" si="31"/>
        <v>28.356901176819484</v>
      </c>
      <c r="CF12" s="32">
        <f t="shared" si="32"/>
        <v>28.486310879851178</v>
      </c>
      <c r="CG12" s="32">
        <f t="shared" si="33"/>
        <v>53.332973861936019</v>
      </c>
      <c r="CH12" s="32">
        <f t="shared" si="34"/>
        <v>57.231441165765737</v>
      </c>
      <c r="CI12" s="32">
        <f t="shared" si="35"/>
        <v>0.97894063985481239</v>
      </c>
      <c r="CJ12">
        <v>3709.15</v>
      </c>
      <c r="CK12">
        <v>143</v>
      </c>
      <c r="CL12">
        <v>156</v>
      </c>
      <c r="CM12" s="35">
        <v>1610</v>
      </c>
      <c r="CN12">
        <v>1605</v>
      </c>
      <c r="CO12">
        <v>650</v>
      </c>
      <c r="CP12">
        <v>761</v>
      </c>
      <c r="CQ12">
        <v>894</v>
      </c>
      <c r="CR12">
        <v>1016</v>
      </c>
      <c r="CS12" s="20">
        <v>13</v>
      </c>
      <c r="CT12" s="20">
        <v>24</v>
      </c>
      <c r="CU12" s="35">
        <f t="shared" si="36"/>
        <v>11</v>
      </c>
      <c r="CV12" s="38">
        <f t="shared" si="37"/>
        <v>0.76995212477172892</v>
      </c>
      <c r="CW12" s="38">
        <f t="shared" si="38"/>
        <v>1.4214500765016533</v>
      </c>
      <c r="CX12" s="38">
        <f t="shared" si="39"/>
        <v>0.65149795172992442</v>
      </c>
      <c r="CY12" s="40">
        <v>36.04</v>
      </c>
      <c r="CZ12" s="40">
        <v>34.93</v>
      </c>
      <c r="DA12" s="40">
        <v>31.97</v>
      </c>
      <c r="DB12" s="40">
        <v>57.19</v>
      </c>
      <c r="DC12" s="40">
        <v>34.840000000000003</v>
      </c>
      <c r="DD12" s="40">
        <v>41.03</v>
      </c>
      <c r="DE12">
        <v>150</v>
      </c>
      <c r="DF12">
        <v>176</v>
      </c>
      <c r="DG12" s="33">
        <f t="shared" si="40"/>
        <v>0.46012269938650308</v>
      </c>
      <c r="DH12">
        <v>-0.08</v>
      </c>
      <c r="DI12">
        <v>-2.66</v>
      </c>
      <c r="DJ12">
        <v>103</v>
      </c>
      <c r="DK12">
        <v>128</v>
      </c>
      <c r="DL12">
        <v>92</v>
      </c>
      <c r="DM12" s="1" t="s">
        <v>173</v>
      </c>
      <c r="DN12" t="s">
        <v>174</v>
      </c>
    </row>
    <row r="13" spans="1:118" x14ac:dyDescent="0.25">
      <c r="A13" t="s">
        <v>175</v>
      </c>
      <c r="B13" t="s">
        <v>176</v>
      </c>
      <c r="C13" s="1" t="s">
        <v>177</v>
      </c>
      <c r="D13" s="2" t="s">
        <v>163</v>
      </c>
      <c r="E13">
        <v>76</v>
      </c>
      <c r="F13">
        <f>(36/76)</f>
        <v>0.47368421052631576</v>
      </c>
      <c r="G13" t="s">
        <v>542</v>
      </c>
      <c r="H13">
        <f>(49/58)</f>
        <v>0.84482758620689657</v>
      </c>
      <c r="I13">
        <v>8</v>
      </c>
      <c r="J13">
        <v>20</v>
      </c>
      <c r="K13" s="29">
        <f t="shared" si="0"/>
        <v>28</v>
      </c>
      <c r="L13" s="30">
        <f t="shared" si="1"/>
        <v>1.7507902872824537</v>
      </c>
      <c r="M13" s="20">
        <v>8</v>
      </c>
      <c r="N13" s="20">
        <v>12</v>
      </c>
      <c r="O13" s="20">
        <v>7</v>
      </c>
      <c r="P13" s="20">
        <v>83</v>
      </c>
      <c r="Q13" s="20">
        <v>35</v>
      </c>
      <c r="R13" s="20">
        <v>35</v>
      </c>
      <c r="S13" s="20">
        <v>137</v>
      </c>
      <c r="T13" s="31">
        <f t="shared" si="2"/>
        <v>9.6385542168674704E-2</v>
      </c>
      <c r="U13" s="31">
        <f t="shared" si="3"/>
        <v>5.2287581699346407E-2</v>
      </c>
      <c r="V13">
        <v>57574</v>
      </c>
      <c r="W13" s="32">
        <f t="shared" si="4"/>
        <v>12.625877192982456</v>
      </c>
      <c r="X13" s="23">
        <v>939.23</v>
      </c>
      <c r="Y13" s="32">
        <f t="shared" si="5"/>
        <v>12.358289473684211</v>
      </c>
      <c r="Z13" s="23">
        <v>2720.78</v>
      </c>
      <c r="AA13" s="32">
        <f t="shared" si="6"/>
        <v>35.799736842105268</v>
      </c>
      <c r="AB13" s="33">
        <f t="shared" si="7"/>
        <v>0.25661951743301248</v>
      </c>
      <c r="AC13" s="34">
        <f t="shared" si="8"/>
        <v>143.4</v>
      </c>
      <c r="AD13" s="20">
        <v>42</v>
      </c>
      <c r="AE13" s="20">
        <v>28</v>
      </c>
      <c r="AF13" s="20">
        <v>142</v>
      </c>
      <c r="AG13" s="20">
        <v>34</v>
      </c>
      <c r="AH13" s="20">
        <v>29</v>
      </c>
      <c r="AI13" s="31">
        <f t="shared" si="9"/>
        <v>0.2</v>
      </c>
      <c r="AJ13" s="31">
        <f t="shared" si="10"/>
        <v>0.47499999999999998</v>
      </c>
      <c r="AK13" s="31">
        <f t="shared" si="11"/>
        <v>0.67500000000000004</v>
      </c>
      <c r="AL13" s="20">
        <v>270</v>
      </c>
      <c r="AM13" s="33">
        <f t="shared" si="12"/>
        <v>0.31468531468531469</v>
      </c>
      <c r="AN13" s="20">
        <v>267</v>
      </c>
      <c r="AO13" s="33">
        <f t="shared" si="13"/>
        <v>0.3111888111888112</v>
      </c>
      <c r="AP13" s="20">
        <v>321</v>
      </c>
      <c r="AQ13" s="33">
        <f t="shared" si="14"/>
        <v>0.37412587412587411</v>
      </c>
      <c r="AR13" s="33">
        <f t="shared" si="15"/>
        <v>0.5027932960893855</v>
      </c>
      <c r="AS13" s="1">
        <v>10</v>
      </c>
      <c r="AT13" s="23">
        <v>1.55</v>
      </c>
      <c r="AU13" s="20">
        <v>17.36</v>
      </c>
      <c r="AV13" s="35">
        <v>10</v>
      </c>
      <c r="AW13" s="36">
        <v>0.247</v>
      </c>
      <c r="AX13" s="1">
        <v>10</v>
      </c>
      <c r="AY13" s="36">
        <v>-0.629</v>
      </c>
      <c r="AZ13" s="20">
        <v>49.54</v>
      </c>
      <c r="BA13" s="20">
        <v>18.12</v>
      </c>
      <c r="BB13" s="36">
        <v>-0.124</v>
      </c>
      <c r="BC13" s="36">
        <v>3.2829999999999999</v>
      </c>
      <c r="BD13" s="20">
        <v>51.53</v>
      </c>
      <c r="BE13" s="33">
        <f t="shared" si="16"/>
        <v>8.3682008368200833E-2</v>
      </c>
      <c r="BF13" s="37">
        <f t="shared" si="17"/>
        <v>0.9185750636132316</v>
      </c>
      <c r="BG13" s="35">
        <f t="shared" si="18"/>
        <v>1002.2570719814324</v>
      </c>
      <c r="BH13" s="33">
        <f t="shared" si="19"/>
        <v>2.2570719814324347E-3</v>
      </c>
      <c r="BI13" s="38">
        <f t="shared" si="20"/>
        <v>2.5552846480627749</v>
      </c>
      <c r="BJ13" s="38">
        <f t="shared" si="21"/>
        <v>2.04422771845022</v>
      </c>
      <c r="BK13" s="32">
        <f t="shared" si="22"/>
        <v>30.535651544350159</v>
      </c>
      <c r="BL13" s="32">
        <f t="shared" si="23"/>
        <v>25.105671667216761</v>
      </c>
      <c r="BM13" s="32">
        <f t="shared" si="24"/>
        <v>58.132725743428125</v>
      </c>
      <c r="BN13" s="32">
        <f t="shared" si="25"/>
        <v>50.594636031642942</v>
      </c>
      <c r="BO13" s="32">
        <f t="shared" si="26"/>
        <v>7.5380897117851831</v>
      </c>
      <c r="BP13" s="20">
        <v>40</v>
      </c>
      <c r="BQ13" s="20">
        <v>32</v>
      </c>
      <c r="BR13" s="35">
        <v>438</v>
      </c>
      <c r="BS13" s="35">
        <v>361</v>
      </c>
      <c r="BT13" s="20">
        <v>184</v>
      </c>
      <c r="BU13" s="20">
        <v>152</v>
      </c>
      <c r="BV13" s="20">
        <v>248</v>
      </c>
      <c r="BW13" s="20">
        <v>247</v>
      </c>
      <c r="BX13" s="20">
        <v>501</v>
      </c>
      <c r="BY13" s="20">
        <v>351</v>
      </c>
      <c r="BZ13" s="33">
        <f t="shared" si="27"/>
        <v>0.5880281690140845</v>
      </c>
      <c r="CA13" s="23">
        <v>6.46</v>
      </c>
      <c r="CB13" s="39">
        <f t="shared" si="28"/>
        <v>3.4690506056399322</v>
      </c>
      <c r="CC13" s="38">
        <f t="shared" si="29"/>
        <v>2.2449713459135814</v>
      </c>
      <c r="CD13" s="38">
        <f t="shared" si="30"/>
        <v>1.9663982591943778</v>
      </c>
      <c r="CE13" s="32">
        <f t="shared" si="31"/>
        <v>28.709414584237916</v>
      </c>
      <c r="CF13" s="32">
        <f t="shared" si="32"/>
        <v>25.776203847606304</v>
      </c>
      <c r="CG13" s="32">
        <f t="shared" si="33"/>
        <v>55.108311213922441</v>
      </c>
      <c r="CH13" s="32">
        <f t="shared" si="34"/>
        <v>51.454087782252891</v>
      </c>
      <c r="CI13" s="32">
        <f t="shared" si="35"/>
        <v>3.8838662801156332</v>
      </c>
      <c r="CJ13">
        <v>3661.5166669999999</v>
      </c>
      <c r="CK13">
        <v>137</v>
      </c>
      <c r="CL13">
        <v>120</v>
      </c>
      <c r="CM13" s="35">
        <v>1615</v>
      </c>
      <c r="CN13">
        <v>1453</v>
      </c>
      <c r="CO13">
        <v>716</v>
      </c>
      <c r="CP13">
        <v>614</v>
      </c>
      <c r="CQ13">
        <v>895</v>
      </c>
      <c r="CR13">
        <v>953</v>
      </c>
      <c r="CS13" s="20">
        <v>7</v>
      </c>
      <c r="CT13" s="20">
        <v>12</v>
      </c>
      <c r="CU13" s="35">
        <f t="shared" si="36"/>
        <v>5</v>
      </c>
      <c r="CV13" s="38">
        <f t="shared" si="37"/>
        <v>0.43769757182061347</v>
      </c>
      <c r="CW13" s="38">
        <f t="shared" si="38"/>
        <v>0.7503386945496231</v>
      </c>
      <c r="CX13" s="38">
        <f t="shared" si="39"/>
        <v>0.31264112272900962</v>
      </c>
      <c r="CY13" s="40">
        <v>43.51</v>
      </c>
      <c r="CZ13" s="40">
        <v>31.16</v>
      </c>
      <c r="DA13" s="40">
        <v>41.19</v>
      </c>
      <c r="DB13" s="40">
        <v>28.85</v>
      </c>
      <c r="DC13" s="40">
        <v>34.94</v>
      </c>
      <c r="DD13" s="40">
        <v>32.44</v>
      </c>
      <c r="DE13">
        <v>1</v>
      </c>
      <c r="DF13">
        <v>1</v>
      </c>
      <c r="DG13" s="33">
        <f t="shared" si="40"/>
        <v>0.5</v>
      </c>
      <c r="DH13">
        <v>-0.01</v>
      </c>
      <c r="DI13">
        <v>1.52</v>
      </c>
      <c r="DJ13">
        <v>2</v>
      </c>
      <c r="DK13">
        <v>0</v>
      </c>
      <c r="DL13">
        <v>0</v>
      </c>
      <c r="DM13" s="1" t="s">
        <v>178</v>
      </c>
      <c r="DN13" t="s">
        <v>179</v>
      </c>
    </row>
    <row r="14" spans="1:118" x14ac:dyDescent="0.25">
      <c r="A14" t="s">
        <v>180</v>
      </c>
      <c r="B14" t="s">
        <v>181</v>
      </c>
      <c r="C14" s="1" t="s">
        <v>168</v>
      </c>
      <c r="D14" s="2" t="s">
        <v>142</v>
      </c>
      <c r="E14">
        <v>79</v>
      </c>
      <c r="F14">
        <f>(33/79)</f>
        <v>0.41772151898734178</v>
      </c>
      <c r="G14" t="s">
        <v>538</v>
      </c>
      <c r="H14">
        <f>(23/34)</f>
        <v>0.67647058823529416</v>
      </c>
      <c r="I14">
        <v>6</v>
      </c>
      <c r="J14">
        <v>20</v>
      </c>
      <c r="K14" s="29">
        <f t="shared" si="0"/>
        <v>26</v>
      </c>
      <c r="L14" s="30">
        <f t="shared" si="1"/>
        <v>1.1768995737511159</v>
      </c>
      <c r="M14" s="20">
        <v>5</v>
      </c>
      <c r="N14" s="20">
        <v>12</v>
      </c>
      <c r="O14" s="20">
        <v>7</v>
      </c>
      <c r="P14" s="20">
        <v>122</v>
      </c>
      <c r="Q14" s="20">
        <v>57</v>
      </c>
      <c r="R14" s="20">
        <v>89</v>
      </c>
      <c r="S14" s="20">
        <v>57</v>
      </c>
      <c r="T14" s="31">
        <f t="shared" si="2"/>
        <v>4.9180327868852458E-2</v>
      </c>
      <c r="U14" s="31">
        <f t="shared" si="3"/>
        <v>2.2388059701492536E-2</v>
      </c>
      <c r="V14">
        <v>79531</v>
      </c>
      <c r="W14" s="32">
        <f t="shared" si="4"/>
        <v>16.778691983122364</v>
      </c>
      <c r="X14" s="23">
        <v>1277.05</v>
      </c>
      <c r="Y14" s="32">
        <f t="shared" si="5"/>
        <v>16.16518987341772</v>
      </c>
      <c r="Z14" s="23">
        <v>2488.59</v>
      </c>
      <c r="AA14" s="32">
        <f t="shared" si="6"/>
        <v>31.50113924050633</v>
      </c>
      <c r="AB14" s="33">
        <f t="shared" si="7"/>
        <v>0.33913225905822114</v>
      </c>
      <c r="AC14" s="34">
        <f t="shared" si="8"/>
        <v>135.20000000000002</v>
      </c>
      <c r="AD14" s="20">
        <v>104</v>
      </c>
      <c r="AE14" s="20">
        <v>94</v>
      </c>
      <c r="AF14" s="20">
        <v>144</v>
      </c>
      <c r="AG14" s="20">
        <v>15</v>
      </c>
      <c r="AH14" s="20">
        <v>29</v>
      </c>
      <c r="AI14" s="31">
        <f t="shared" si="9"/>
        <v>8.3333333333333329E-2</v>
      </c>
      <c r="AJ14" s="31">
        <f t="shared" si="10"/>
        <v>0.31666666666666665</v>
      </c>
      <c r="AK14" s="31">
        <f t="shared" si="11"/>
        <v>0.39999999999999997</v>
      </c>
      <c r="AL14" s="20">
        <v>414</v>
      </c>
      <c r="AM14" s="33">
        <f t="shared" si="12"/>
        <v>0.32909379968203495</v>
      </c>
      <c r="AN14" s="20">
        <v>396</v>
      </c>
      <c r="AO14" s="33">
        <f t="shared" si="13"/>
        <v>0.31478537360890302</v>
      </c>
      <c r="AP14" s="20">
        <v>448</v>
      </c>
      <c r="AQ14" s="33">
        <f t="shared" si="14"/>
        <v>0.35612082670906198</v>
      </c>
      <c r="AR14" s="33">
        <f t="shared" si="15"/>
        <v>0.51111111111111107</v>
      </c>
      <c r="AS14" s="1">
        <v>6</v>
      </c>
      <c r="AT14" s="23">
        <v>3.19</v>
      </c>
      <c r="AU14" s="20">
        <v>17.2</v>
      </c>
      <c r="AV14" s="35">
        <v>5</v>
      </c>
      <c r="AW14" s="36">
        <v>0.218</v>
      </c>
      <c r="AX14" s="1">
        <v>5</v>
      </c>
      <c r="AY14" s="36">
        <v>9.6000000000000002E-2</v>
      </c>
      <c r="AZ14" s="20">
        <v>49.99</v>
      </c>
      <c r="BA14" s="20">
        <v>16.440000000000001</v>
      </c>
      <c r="BB14" s="36">
        <v>-0.54100000000000004</v>
      </c>
      <c r="BC14" s="36">
        <v>3.0470000000000002</v>
      </c>
      <c r="BD14" s="20">
        <v>51.78</v>
      </c>
      <c r="BE14" s="33">
        <f t="shared" si="16"/>
        <v>8.8757396449704137E-2</v>
      </c>
      <c r="BF14" s="37">
        <f t="shared" si="17"/>
        <v>0.93542435424354242</v>
      </c>
      <c r="BG14" s="35">
        <f t="shared" si="18"/>
        <v>1024.1817506932466</v>
      </c>
      <c r="BH14" s="33">
        <f t="shared" si="19"/>
        <v>2.4181750693246559E-2</v>
      </c>
      <c r="BI14" s="38">
        <f t="shared" si="20"/>
        <v>2.8189969069339496</v>
      </c>
      <c r="BJ14" s="38">
        <f t="shared" si="21"/>
        <v>1.6444148623781372</v>
      </c>
      <c r="BK14" s="32">
        <f t="shared" si="22"/>
        <v>31.76069848478916</v>
      </c>
      <c r="BL14" s="32">
        <f t="shared" si="23"/>
        <v>25.464938725970011</v>
      </c>
      <c r="BM14" s="32">
        <f t="shared" si="24"/>
        <v>58.494185818879451</v>
      </c>
      <c r="BN14" s="32">
        <f t="shared" si="25"/>
        <v>47.50009788183705</v>
      </c>
      <c r="BO14" s="32">
        <f t="shared" si="26"/>
        <v>10.994087937042401</v>
      </c>
      <c r="BP14" s="20">
        <v>60</v>
      </c>
      <c r="BQ14" s="20">
        <v>35</v>
      </c>
      <c r="BR14" s="35">
        <v>616</v>
      </c>
      <c r="BS14" s="35">
        <v>507</v>
      </c>
      <c r="BT14" s="20">
        <v>246</v>
      </c>
      <c r="BU14" s="20">
        <v>195</v>
      </c>
      <c r="BV14" s="20">
        <v>323</v>
      </c>
      <c r="BW14" s="20">
        <v>274</v>
      </c>
      <c r="BX14" s="20">
        <v>616</v>
      </c>
      <c r="BY14" s="20">
        <v>509</v>
      </c>
      <c r="BZ14" s="33">
        <f t="shared" si="27"/>
        <v>0.54755555555555557</v>
      </c>
      <c r="CA14" s="23">
        <v>3.85</v>
      </c>
      <c r="CB14" s="39">
        <f t="shared" si="28"/>
        <v>7.6864212703757353</v>
      </c>
      <c r="CC14" s="38">
        <f t="shared" si="29"/>
        <v>2.1690205736059061</v>
      </c>
      <c r="CD14" s="38">
        <f t="shared" si="30"/>
        <v>1.8978930019051679</v>
      </c>
      <c r="CE14" s="32">
        <f t="shared" si="31"/>
        <v>30.60551824080687</v>
      </c>
      <c r="CF14" s="32">
        <f t="shared" si="32"/>
        <v>27.70285835554014</v>
      </c>
      <c r="CG14" s="32">
        <f t="shared" si="33"/>
        <v>56.059612619299713</v>
      </c>
      <c r="CH14" s="32">
        <f t="shared" si="34"/>
        <v>51.35475181625749</v>
      </c>
      <c r="CI14" s="32">
        <f t="shared" si="35"/>
        <v>6.2892271340001784</v>
      </c>
      <c r="CJ14">
        <v>3762.0666670000001</v>
      </c>
      <c r="CK14">
        <v>136</v>
      </c>
      <c r="CL14">
        <v>119</v>
      </c>
      <c r="CM14" s="35">
        <v>1783</v>
      </c>
      <c r="CN14">
        <v>1618</v>
      </c>
      <c r="CO14">
        <v>706</v>
      </c>
      <c r="CP14">
        <v>640</v>
      </c>
      <c r="CQ14">
        <v>890</v>
      </c>
      <c r="CR14">
        <v>843</v>
      </c>
      <c r="CS14" s="20">
        <v>6</v>
      </c>
      <c r="CT14" s="20">
        <v>7</v>
      </c>
      <c r="CU14" s="35">
        <f t="shared" si="36"/>
        <v>1</v>
      </c>
      <c r="CV14" s="38">
        <f t="shared" si="37"/>
        <v>0.27159220932718053</v>
      </c>
      <c r="CW14" s="38">
        <f t="shared" si="38"/>
        <v>0.31685757754837734</v>
      </c>
      <c r="CX14" s="38">
        <f t="shared" si="39"/>
        <v>4.5265368221196756E-2</v>
      </c>
      <c r="CY14" s="40">
        <v>53.16</v>
      </c>
      <c r="CZ14" s="40">
        <v>44.29</v>
      </c>
      <c r="DA14" s="40">
        <v>41.68</v>
      </c>
      <c r="DB14" s="40">
        <v>44.26</v>
      </c>
      <c r="DC14" s="40">
        <v>53.1</v>
      </c>
      <c r="DD14" s="40">
        <v>49.42</v>
      </c>
      <c r="DE14">
        <v>0</v>
      </c>
      <c r="DF14">
        <v>0</v>
      </c>
      <c r="DG14" s="33" t="str">
        <f t="shared" si="40"/>
        <v xml:space="preserve"> </v>
      </c>
      <c r="DH14">
        <v>0</v>
      </c>
      <c r="DI14">
        <v>0</v>
      </c>
      <c r="DJ14">
        <v>0</v>
      </c>
      <c r="DK14">
        <v>0</v>
      </c>
      <c r="DL14">
        <v>0</v>
      </c>
      <c r="DM14" s="1" t="s">
        <v>182</v>
      </c>
      <c r="DN14" t="s">
        <v>183</v>
      </c>
    </row>
    <row r="15" spans="1:118" ht="39" x14ac:dyDescent="0.25">
      <c r="A15" t="s">
        <v>184</v>
      </c>
      <c r="B15" t="s">
        <v>185</v>
      </c>
      <c r="C15" s="1" t="s">
        <v>186</v>
      </c>
      <c r="D15" s="2" t="s">
        <v>125</v>
      </c>
      <c r="E15">
        <v>73</v>
      </c>
      <c r="F15">
        <f>(29/73)</f>
        <v>0.39726027397260272</v>
      </c>
      <c r="G15" t="s">
        <v>543</v>
      </c>
      <c r="H15">
        <f>(36/55)</f>
        <v>0.65454545454545454</v>
      </c>
      <c r="I15">
        <v>14</v>
      </c>
      <c r="J15">
        <v>13</v>
      </c>
      <c r="K15" s="29">
        <f t="shared" si="0"/>
        <v>27</v>
      </c>
      <c r="L15" s="30">
        <f t="shared" si="1"/>
        <v>1.6921416385223356</v>
      </c>
      <c r="M15" s="20">
        <v>12</v>
      </c>
      <c r="N15" s="20">
        <v>9</v>
      </c>
      <c r="O15" s="20">
        <v>4</v>
      </c>
      <c r="P15" s="20">
        <v>85</v>
      </c>
      <c r="Q15" s="20">
        <v>44</v>
      </c>
      <c r="R15" s="20">
        <v>46</v>
      </c>
      <c r="S15" s="20">
        <v>132</v>
      </c>
      <c r="T15" s="31">
        <f t="shared" si="2"/>
        <v>0.16470588235294117</v>
      </c>
      <c r="U15" s="31">
        <f t="shared" si="3"/>
        <v>0.08</v>
      </c>
      <c r="V15">
        <v>57442</v>
      </c>
      <c r="W15" s="32">
        <f t="shared" si="4"/>
        <v>13.114611872146119</v>
      </c>
      <c r="X15" s="23">
        <v>915.83</v>
      </c>
      <c r="Y15" s="32">
        <f t="shared" si="5"/>
        <v>12.545616438356165</v>
      </c>
      <c r="Z15" s="23">
        <v>2597.12</v>
      </c>
      <c r="AA15" s="32">
        <f t="shared" si="6"/>
        <v>35.576986301369864</v>
      </c>
      <c r="AB15" s="33">
        <f t="shared" si="7"/>
        <v>0.2607011201411919</v>
      </c>
      <c r="AC15" s="34">
        <f t="shared" si="8"/>
        <v>103.70454545454545</v>
      </c>
      <c r="AD15" s="20">
        <v>20</v>
      </c>
      <c r="AE15" s="20">
        <v>4</v>
      </c>
      <c r="AF15" s="20">
        <v>85</v>
      </c>
      <c r="AG15" s="20">
        <v>34</v>
      </c>
      <c r="AH15" s="20">
        <v>26</v>
      </c>
      <c r="AI15" s="31">
        <f t="shared" si="9"/>
        <v>0.27272727272727271</v>
      </c>
      <c r="AJ15" s="31">
        <f t="shared" si="10"/>
        <v>0.29545454545454547</v>
      </c>
      <c r="AK15" s="31">
        <f t="shared" si="11"/>
        <v>0.56818181818181812</v>
      </c>
      <c r="AL15" s="20">
        <v>305</v>
      </c>
      <c r="AM15" s="33">
        <f t="shared" si="12"/>
        <v>0.35341830822711473</v>
      </c>
      <c r="AN15" s="20">
        <v>261</v>
      </c>
      <c r="AO15" s="33">
        <f t="shared" si="13"/>
        <v>0.30243337195828507</v>
      </c>
      <c r="AP15" s="20">
        <v>297</v>
      </c>
      <c r="AQ15" s="33">
        <f t="shared" si="14"/>
        <v>0.34414831981460026</v>
      </c>
      <c r="AR15" s="33">
        <f t="shared" si="15"/>
        <v>0.53886925795053009</v>
      </c>
      <c r="AS15" s="1">
        <v>10</v>
      </c>
      <c r="AT15" s="23">
        <v>3.27</v>
      </c>
      <c r="AU15" s="20">
        <v>17.309999999999999</v>
      </c>
      <c r="AV15" s="35">
        <v>8</v>
      </c>
      <c r="AW15" s="36">
        <v>0.34500000000000003</v>
      </c>
      <c r="AX15" s="1">
        <v>10</v>
      </c>
      <c r="AY15" s="36">
        <v>-0.42599999999999999</v>
      </c>
      <c r="AZ15" s="20">
        <v>49.91</v>
      </c>
      <c r="BA15" s="20">
        <v>17.66</v>
      </c>
      <c r="BB15" s="36">
        <v>0.85699999999999998</v>
      </c>
      <c r="BC15" s="36">
        <v>6.4189999999999996</v>
      </c>
      <c r="BD15" s="20">
        <v>53.35</v>
      </c>
      <c r="BE15" s="33">
        <f t="shared" si="16"/>
        <v>8.6785009861932938E-2</v>
      </c>
      <c r="BF15" s="37">
        <f t="shared" si="17"/>
        <v>0.92427616926503342</v>
      </c>
      <c r="BG15" s="35">
        <f t="shared" si="18"/>
        <v>1011.0611791269664</v>
      </c>
      <c r="BH15" s="33">
        <f t="shared" si="19"/>
        <v>1.1061179126966358E-2</v>
      </c>
      <c r="BI15" s="38">
        <f t="shared" si="20"/>
        <v>2.8826310559820052</v>
      </c>
      <c r="BJ15" s="38">
        <f t="shared" si="21"/>
        <v>2.2274876341679133</v>
      </c>
      <c r="BK15" s="32">
        <f t="shared" si="22"/>
        <v>33.215771485974471</v>
      </c>
      <c r="BL15" s="32">
        <f t="shared" si="23"/>
        <v>29.415939639452734</v>
      </c>
      <c r="BM15" s="32">
        <f t="shared" si="24"/>
        <v>62.959282836334246</v>
      </c>
      <c r="BN15" s="32">
        <f t="shared" si="25"/>
        <v>53.78727493093696</v>
      </c>
      <c r="BO15" s="32">
        <f t="shared" si="26"/>
        <v>9.1720079053972867</v>
      </c>
      <c r="BP15" s="20">
        <v>44</v>
      </c>
      <c r="BQ15" s="20">
        <v>34</v>
      </c>
      <c r="BR15" s="35">
        <v>463</v>
      </c>
      <c r="BS15" s="35">
        <v>415</v>
      </c>
      <c r="BT15" s="20">
        <v>216</v>
      </c>
      <c r="BU15" s="20">
        <v>173</v>
      </c>
      <c r="BV15" s="20">
        <v>238</v>
      </c>
      <c r="BW15" s="20">
        <v>199</v>
      </c>
      <c r="BX15" s="20">
        <v>511</v>
      </c>
      <c r="BY15" s="20">
        <v>411</v>
      </c>
      <c r="BZ15" s="33">
        <f t="shared" si="27"/>
        <v>0.55422993492407813</v>
      </c>
      <c r="CA15" s="23">
        <v>2.62</v>
      </c>
      <c r="CB15" s="39">
        <f t="shared" si="28"/>
        <v>1.304145714584565</v>
      </c>
      <c r="CC15" s="38">
        <f t="shared" si="29"/>
        <v>2.4899471959473964</v>
      </c>
      <c r="CD15" s="38">
        <f t="shared" si="30"/>
        <v>2.3525707989296087</v>
      </c>
      <c r="CE15" s="32">
        <f t="shared" si="31"/>
        <v>31.35616261930997</v>
      </c>
      <c r="CF15" s="32">
        <f t="shared" si="32"/>
        <v>28.454086232309209</v>
      </c>
      <c r="CG15" s="32">
        <f t="shared" si="33"/>
        <v>61.613314062477642</v>
      </c>
      <c r="CH15" s="32">
        <f t="shared" si="34"/>
        <v>55.139451353014408</v>
      </c>
      <c r="CI15" s="32">
        <f t="shared" si="35"/>
        <v>2.6981451959340532</v>
      </c>
      <c r="CJ15">
        <v>3494.05</v>
      </c>
      <c r="CK15">
        <v>145</v>
      </c>
      <c r="CL15">
        <v>137</v>
      </c>
      <c r="CM15" s="35">
        <v>1681</v>
      </c>
      <c r="CN15">
        <v>1520</v>
      </c>
      <c r="CO15">
        <v>804</v>
      </c>
      <c r="CP15">
        <v>735</v>
      </c>
      <c r="CQ15">
        <v>958</v>
      </c>
      <c r="CR15">
        <v>819</v>
      </c>
      <c r="CS15" s="20">
        <v>7</v>
      </c>
      <c r="CT15" s="20">
        <v>6</v>
      </c>
      <c r="CU15" s="35">
        <f t="shared" si="36"/>
        <v>-1</v>
      </c>
      <c r="CV15" s="38">
        <f t="shared" si="37"/>
        <v>0.43870338776504997</v>
      </c>
      <c r="CW15" s="38">
        <f t="shared" si="38"/>
        <v>0.37603147522718566</v>
      </c>
      <c r="CX15" s="38">
        <f t="shared" si="39"/>
        <v>-6.2671912537864277E-2</v>
      </c>
      <c r="CY15" s="40">
        <v>39.79</v>
      </c>
      <c r="CZ15" s="40">
        <v>37.43</v>
      </c>
      <c r="DA15" s="40">
        <v>29.9</v>
      </c>
      <c r="DB15" s="40">
        <v>41.88</v>
      </c>
      <c r="DC15" s="40">
        <v>38.76</v>
      </c>
      <c r="DD15" s="40">
        <v>39.979999999999997</v>
      </c>
      <c r="DE15">
        <v>86</v>
      </c>
      <c r="DF15">
        <v>152</v>
      </c>
      <c r="DG15" s="33">
        <f t="shared" si="40"/>
        <v>0.36134453781512604</v>
      </c>
      <c r="DH15">
        <v>-0.13</v>
      </c>
      <c r="DI15">
        <v>-9.59</v>
      </c>
      <c r="DJ15">
        <v>80</v>
      </c>
      <c r="DK15">
        <v>85</v>
      </c>
      <c r="DL15">
        <v>61</v>
      </c>
      <c r="DM15" s="2" t="s">
        <v>187</v>
      </c>
      <c r="DN15" t="s">
        <v>188</v>
      </c>
    </row>
    <row r="16" spans="1:118" x14ac:dyDescent="0.25">
      <c r="A16" t="s">
        <v>189</v>
      </c>
      <c r="B16" t="s">
        <v>190</v>
      </c>
      <c r="C16" s="1" t="s">
        <v>191</v>
      </c>
      <c r="D16" s="2" t="s">
        <v>125</v>
      </c>
      <c r="E16">
        <v>68</v>
      </c>
      <c r="F16">
        <f>(28/68)</f>
        <v>0.41176470588235292</v>
      </c>
      <c r="G16" t="s">
        <v>544</v>
      </c>
      <c r="H16">
        <f>(56/75)</f>
        <v>0.7466666666666667</v>
      </c>
      <c r="I16">
        <v>12</v>
      </c>
      <c r="J16">
        <v>13</v>
      </c>
      <c r="K16" s="29">
        <f t="shared" si="0"/>
        <v>25</v>
      </c>
      <c r="L16" s="30">
        <f t="shared" si="1"/>
        <v>2.0000888928396816</v>
      </c>
      <c r="M16" s="20">
        <v>10</v>
      </c>
      <c r="N16" s="20">
        <v>9</v>
      </c>
      <c r="O16" s="20">
        <v>4</v>
      </c>
      <c r="P16" s="20">
        <v>92</v>
      </c>
      <c r="Q16" s="20">
        <v>36</v>
      </c>
      <c r="R16" s="20">
        <v>24</v>
      </c>
      <c r="S16" s="20">
        <v>90</v>
      </c>
      <c r="T16" s="31">
        <f t="shared" si="2"/>
        <v>0.13043478260869565</v>
      </c>
      <c r="U16" s="31">
        <f t="shared" si="3"/>
        <v>7.8947368421052627E-2</v>
      </c>
      <c r="V16">
        <v>44998</v>
      </c>
      <c r="W16" s="32">
        <f t="shared" si="4"/>
        <v>11.028921568627451</v>
      </c>
      <c r="X16" s="23">
        <v>740.15</v>
      </c>
      <c r="Y16" s="32">
        <f t="shared" si="5"/>
        <v>10.884558823529412</v>
      </c>
      <c r="Z16" s="23">
        <v>2564.79</v>
      </c>
      <c r="AA16" s="32">
        <f t="shared" si="6"/>
        <v>37.717500000000001</v>
      </c>
      <c r="AB16" s="33">
        <f t="shared" si="7"/>
        <v>0.22395262848947334</v>
      </c>
      <c r="AC16" s="34">
        <f t="shared" si="8"/>
        <v>109.86206896551725</v>
      </c>
      <c r="AD16" s="20">
        <v>30</v>
      </c>
      <c r="AE16" s="20">
        <v>125</v>
      </c>
      <c r="AF16" s="20">
        <v>78</v>
      </c>
      <c r="AG16" s="20">
        <v>12</v>
      </c>
      <c r="AH16" s="20">
        <v>13</v>
      </c>
      <c r="AI16" s="31">
        <f t="shared" si="9"/>
        <v>0.34482758620689657</v>
      </c>
      <c r="AJ16" s="31">
        <f t="shared" si="10"/>
        <v>0.44827586206896552</v>
      </c>
      <c r="AK16" s="31">
        <f t="shared" si="11"/>
        <v>0.7931034482758621</v>
      </c>
      <c r="AL16" s="20">
        <v>221</v>
      </c>
      <c r="AM16" s="33">
        <f t="shared" si="12"/>
        <v>0.36468646864686466</v>
      </c>
      <c r="AN16" s="20">
        <v>145</v>
      </c>
      <c r="AO16" s="33">
        <f t="shared" si="13"/>
        <v>0.23927392739273928</v>
      </c>
      <c r="AP16" s="20">
        <v>240</v>
      </c>
      <c r="AQ16" s="33">
        <f t="shared" si="14"/>
        <v>0.39603960396039606</v>
      </c>
      <c r="AR16" s="33">
        <f t="shared" si="15"/>
        <v>0.60382513661202186</v>
      </c>
      <c r="AS16" s="1">
        <v>12</v>
      </c>
      <c r="AT16" s="23">
        <v>12.46</v>
      </c>
      <c r="AU16" s="20">
        <v>17.059999999999999</v>
      </c>
      <c r="AV16" s="35">
        <v>10</v>
      </c>
      <c r="AW16" s="36">
        <v>-0.02</v>
      </c>
      <c r="AX16" s="1">
        <v>12</v>
      </c>
      <c r="AY16" s="36">
        <v>-0.32400000000000001</v>
      </c>
      <c r="AZ16" s="20">
        <v>49.85</v>
      </c>
      <c r="BA16" s="20">
        <v>17.16</v>
      </c>
      <c r="BB16" s="36">
        <v>1.544</v>
      </c>
      <c r="BC16" s="36">
        <v>-4.1310000000000002</v>
      </c>
      <c r="BD16" s="20">
        <v>48.47</v>
      </c>
      <c r="BE16" s="33">
        <f t="shared" si="16"/>
        <v>8.1920903954802254E-2</v>
      </c>
      <c r="BF16" s="37">
        <f t="shared" si="17"/>
        <v>0.9506849315068493</v>
      </c>
      <c r="BG16" s="35">
        <f t="shared" si="18"/>
        <v>1032.6058354616516</v>
      </c>
      <c r="BH16" s="33">
        <f t="shared" si="19"/>
        <v>3.260583546165155E-2</v>
      </c>
      <c r="BI16" s="38">
        <f t="shared" si="20"/>
        <v>2.3508748226710803</v>
      </c>
      <c r="BJ16" s="38">
        <f t="shared" si="21"/>
        <v>1.4591636830372221</v>
      </c>
      <c r="BK16" s="32">
        <f t="shared" si="22"/>
        <v>28.696885766398704</v>
      </c>
      <c r="BL16" s="32">
        <f t="shared" si="23"/>
        <v>29.58859690603256</v>
      </c>
      <c r="BM16" s="32">
        <f t="shared" si="24"/>
        <v>50.989664257245153</v>
      </c>
      <c r="BN16" s="32">
        <f t="shared" si="25"/>
        <v>55.286090657299198</v>
      </c>
      <c r="BO16" s="32">
        <f t="shared" si="26"/>
        <v>-4.2964264000540453</v>
      </c>
      <c r="BP16" s="20">
        <v>29</v>
      </c>
      <c r="BQ16" s="20">
        <v>18</v>
      </c>
      <c r="BR16" s="35">
        <v>325</v>
      </c>
      <c r="BS16" s="35">
        <v>347</v>
      </c>
      <c r="BT16" s="20">
        <v>136</v>
      </c>
      <c r="BU16" s="20">
        <v>148</v>
      </c>
      <c r="BV16" s="20">
        <v>139</v>
      </c>
      <c r="BW16" s="20">
        <v>169</v>
      </c>
      <c r="BX16" s="20">
        <v>293</v>
      </c>
      <c r="BY16" s="20">
        <v>328</v>
      </c>
      <c r="BZ16" s="33">
        <f t="shared" si="27"/>
        <v>0.4718196457326892</v>
      </c>
      <c r="CA16" s="23">
        <v>0.59</v>
      </c>
      <c r="CB16" s="39">
        <f t="shared" si="28"/>
        <v>-3.0712296787425704</v>
      </c>
      <c r="CC16" s="38">
        <f t="shared" si="29"/>
        <v>2.4689490325411114</v>
      </c>
      <c r="CD16" s="38">
        <f t="shared" si="30"/>
        <v>1.797249663393897</v>
      </c>
      <c r="CE16" s="32">
        <f t="shared" si="31"/>
        <v>26.976898987912435</v>
      </c>
      <c r="CF16" s="32">
        <f t="shared" si="32"/>
        <v>28.973843058350102</v>
      </c>
      <c r="CG16" s="32">
        <f t="shared" si="33"/>
        <v>50.831303611140527</v>
      </c>
      <c r="CH16" s="32">
        <f t="shared" si="34"/>
        <v>56.223052601322216</v>
      </c>
      <c r="CI16" s="32">
        <f t="shared" si="35"/>
        <v>1.095322590127644</v>
      </c>
      <c r="CJ16">
        <v>3305.05</v>
      </c>
      <c r="CK16">
        <v>136</v>
      </c>
      <c r="CL16">
        <v>99</v>
      </c>
      <c r="CM16" s="35">
        <v>1350</v>
      </c>
      <c r="CN16">
        <v>1497</v>
      </c>
      <c r="CO16">
        <v>609</v>
      </c>
      <c r="CP16">
        <v>653</v>
      </c>
      <c r="CQ16">
        <v>705</v>
      </c>
      <c r="CR16">
        <v>848</v>
      </c>
      <c r="CS16" s="20">
        <v>14</v>
      </c>
      <c r="CT16" s="20">
        <v>7</v>
      </c>
      <c r="CU16" s="35">
        <f t="shared" si="36"/>
        <v>-7</v>
      </c>
      <c r="CV16" s="38">
        <f t="shared" si="37"/>
        <v>1.1200497799902216</v>
      </c>
      <c r="CW16" s="38">
        <f t="shared" si="38"/>
        <v>0.5600248899951108</v>
      </c>
      <c r="CX16" s="38">
        <f t="shared" si="39"/>
        <v>-0.5600248899951108</v>
      </c>
      <c r="CY16" s="40">
        <v>28.29</v>
      </c>
      <c r="CZ16" s="40">
        <v>29.77</v>
      </c>
      <c r="DA16" s="40">
        <v>26.69</v>
      </c>
      <c r="DB16" s="40">
        <v>24.59</v>
      </c>
      <c r="DC16" s="40">
        <v>30.6</v>
      </c>
      <c r="DD16" s="40">
        <v>30.25</v>
      </c>
      <c r="DE16">
        <v>120</v>
      </c>
      <c r="DF16">
        <v>131</v>
      </c>
      <c r="DG16" s="33">
        <f t="shared" si="40"/>
        <v>0.47808764940239046</v>
      </c>
      <c r="DH16">
        <v>-1.49</v>
      </c>
      <c r="DI16">
        <v>1.6</v>
      </c>
      <c r="DJ16">
        <v>116</v>
      </c>
      <c r="DK16">
        <v>83</v>
      </c>
      <c r="DL16">
        <v>44</v>
      </c>
      <c r="DM16" s="1" t="s">
        <v>192</v>
      </c>
      <c r="DN16" t="s">
        <v>193</v>
      </c>
    </row>
    <row r="17" spans="1:118" x14ac:dyDescent="0.25">
      <c r="A17" t="s">
        <v>194</v>
      </c>
      <c r="B17" t="s">
        <v>195</v>
      </c>
      <c r="C17" s="1" t="s">
        <v>196</v>
      </c>
      <c r="D17" s="2" t="s">
        <v>142</v>
      </c>
      <c r="E17">
        <v>75</v>
      </c>
      <c r="F17">
        <f>(25/75)</f>
        <v>0.33333333333333331</v>
      </c>
      <c r="G17" t="s">
        <v>538</v>
      </c>
      <c r="H17">
        <f>(21/39)</f>
        <v>0.53846153846153844</v>
      </c>
      <c r="I17">
        <v>1</v>
      </c>
      <c r="J17">
        <v>17</v>
      </c>
      <c r="K17" s="29">
        <f t="shared" si="0"/>
        <v>18</v>
      </c>
      <c r="L17" s="30">
        <f t="shared" si="1"/>
        <v>0.8633668642995137</v>
      </c>
      <c r="M17" s="20">
        <v>1</v>
      </c>
      <c r="N17" s="20">
        <v>9</v>
      </c>
      <c r="O17" s="20">
        <v>6</v>
      </c>
      <c r="P17" s="20">
        <v>69</v>
      </c>
      <c r="Q17" s="20">
        <v>24</v>
      </c>
      <c r="R17" s="20">
        <v>59</v>
      </c>
      <c r="S17" s="20">
        <v>38</v>
      </c>
      <c r="T17" s="31">
        <f t="shared" si="2"/>
        <v>1.4492753623188406E-2</v>
      </c>
      <c r="U17" s="31">
        <f t="shared" si="3"/>
        <v>6.5789473684210523E-3</v>
      </c>
      <c r="V17">
        <v>75055</v>
      </c>
      <c r="W17" s="32">
        <f t="shared" si="4"/>
        <v>16.678888888888888</v>
      </c>
      <c r="X17" s="23">
        <v>1161.82</v>
      </c>
      <c r="Y17" s="32">
        <f t="shared" si="5"/>
        <v>15.490933333333333</v>
      </c>
      <c r="Z17" s="23">
        <v>2462.62</v>
      </c>
      <c r="AA17" s="32">
        <f t="shared" si="6"/>
        <v>32.834933333333332</v>
      </c>
      <c r="AB17" s="33">
        <f t="shared" si="7"/>
        <v>0.32055158865921357</v>
      </c>
      <c r="AC17" s="34">
        <f t="shared" si="8"/>
        <v>151.83870967741936</v>
      </c>
      <c r="AD17" s="20">
        <v>82</v>
      </c>
      <c r="AE17" s="20">
        <v>38</v>
      </c>
      <c r="AF17" s="20">
        <v>101</v>
      </c>
      <c r="AG17" s="20">
        <v>46</v>
      </c>
      <c r="AH17" s="20">
        <v>25</v>
      </c>
      <c r="AI17" s="31">
        <f t="shared" si="9"/>
        <v>3.2258064516129031E-2</v>
      </c>
      <c r="AJ17" s="31">
        <f t="shared" si="10"/>
        <v>0.4838709677419355</v>
      </c>
      <c r="AK17" s="31">
        <f t="shared" si="11"/>
        <v>0.5161290322580645</v>
      </c>
      <c r="AL17" s="20">
        <v>345</v>
      </c>
      <c r="AM17" s="33">
        <f t="shared" si="12"/>
        <v>0.33757338551859101</v>
      </c>
      <c r="AN17" s="20">
        <v>315</v>
      </c>
      <c r="AO17" s="33">
        <f t="shared" si="13"/>
        <v>0.30821917808219179</v>
      </c>
      <c r="AP17" s="20">
        <v>362</v>
      </c>
      <c r="AQ17" s="33">
        <f t="shared" si="14"/>
        <v>0.3542074363992172</v>
      </c>
      <c r="AR17" s="33">
        <f t="shared" si="15"/>
        <v>0.52272727272727271</v>
      </c>
      <c r="AS17" s="1">
        <v>5</v>
      </c>
      <c r="AT17" s="23">
        <v>2.91</v>
      </c>
      <c r="AU17" s="20">
        <v>17.23</v>
      </c>
      <c r="AV17" s="35">
        <v>6</v>
      </c>
      <c r="AW17" s="36">
        <v>-0.129</v>
      </c>
      <c r="AX17" s="1">
        <v>7</v>
      </c>
      <c r="AY17" s="36">
        <v>0.30499999999999999</v>
      </c>
      <c r="AZ17" s="20">
        <v>49.89</v>
      </c>
      <c r="BA17" s="20">
        <v>16.21</v>
      </c>
      <c r="BB17" s="36">
        <v>4.3999999999999997E-2</v>
      </c>
      <c r="BC17" s="36">
        <v>-5.5549999999999997</v>
      </c>
      <c r="BD17" s="20">
        <v>48.28</v>
      </c>
      <c r="BE17" s="33">
        <f t="shared" si="16"/>
        <v>5.9273422562141492E-2</v>
      </c>
      <c r="BF17" s="37">
        <f t="shared" si="17"/>
        <v>0.93075684380032209</v>
      </c>
      <c r="BG17" s="35">
        <f t="shared" si="18"/>
        <v>990.03026636246352</v>
      </c>
      <c r="BH17" s="33">
        <f t="shared" si="19"/>
        <v>-9.9697336375364209E-3</v>
      </c>
      <c r="BI17" s="38">
        <f t="shared" si="20"/>
        <v>1.600936461758276</v>
      </c>
      <c r="BJ17" s="38">
        <f t="shared" si="21"/>
        <v>2.2206538017937376</v>
      </c>
      <c r="BK17" s="32">
        <f t="shared" si="22"/>
        <v>27.009347403212203</v>
      </c>
      <c r="BL17" s="32">
        <f t="shared" si="23"/>
        <v>32.070372346835136</v>
      </c>
      <c r="BM17" s="32">
        <f t="shared" si="24"/>
        <v>49.629030314506558</v>
      </c>
      <c r="BN17" s="32">
        <f t="shared" si="25"/>
        <v>57.840285069976424</v>
      </c>
      <c r="BO17" s="32">
        <f t="shared" si="26"/>
        <v>-8.2112547554698665</v>
      </c>
      <c r="BP17" s="20">
        <v>31</v>
      </c>
      <c r="BQ17" s="20">
        <v>43</v>
      </c>
      <c r="BR17" s="35">
        <v>492</v>
      </c>
      <c r="BS17" s="35">
        <v>578</v>
      </c>
      <c r="BT17" s="20">
        <v>198</v>
      </c>
      <c r="BU17" s="20">
        <v>238</v>
      </c>
      <c r="BV17" s="20">
        <v>240</v>
      </c>
      <c r="BW17" s="20">
        <v>261</v>
      </c>
      <c r="BX17" s="20">
        <v>470</v>
      </c>
      <c r="BY17" s="20">
        <v>603</v>
      </c>
      <c r="BZ17" s="33">
        <f t="shared" si="27"/>
        <v>0.43802423112767941</v>
      </c>
      <c r="CA17" s="23">
        <v>-2.25</v>
      </c>
      <c r="CB17" s="39">
        <f t="shared" si="28"/>
        <v>-2.9867093009244119</v>
      </c>
      <c r="CC17" s="38">
        <f t="shared" si="29"/>
        <v>1.9070255928362172</v>
      </c>
      <c r="CD17" s="38">
        <f t="shared" si="30"/>
        <v>2.3547620363716764</v>
      </c>
      <c r="CE17" s="32">
        <f t="shared" si="31"/>
        <v>27.759659499198499</v>
      </c>
      <c r="CF17" s="32">
        <f t="shared" si="32"/>
        <v>31.308385384998068</v>
      </c>
      <c r="CG17" s="32">
        <f t="shared" si="33"/>
        <v>49.847990713614507</v>
      </c>
      <c r="CH17" s="32">
        <f t="shared" si="34"/>
        <v>55.585650323365215</v>
      </c>
      <c r="CI17" s="32">
        <f t="shared" si="35"/>
        <v>-2.4735951457191589</v>
      </c>
      <c r="CJ17">
        <v>3618.2</v>
      </c>
      <c r="CK17">
        <v>115</v>
      </c>
      <c r="CL17">
        <v>142</v>
      </c>
      <c r="CM17" s="35">
        <v>1559</v>
      </c>
      <c r="CN17">
        <v>1746</v>
      </c>
      <c r="CO17">
        <v>579</v>
      </c>
      <c r="CP17">
        <v>693</v>
      </c>
      <c r="CQ17">
        <v>753</v>
      </c>
      <c r="CR17">
        <v>771</v>
      </c>
      <c r="CS17" s="20">
        <v>6</v>
      </c>
      <c r="CT17" s="20">
        <v>11</v>
      </c>
      <c r="CU17" s="35">
        <f t="shared" si="36"/>
        <v>5</v>
      </c>
      <c r="CV17" s="38">
        <f t="shared" si="37"/>
        <v>0.28778895476650457</v>
      </c>
      <c r="CW17" s="38">
        <f t="shared" si="38"/>
        <v>0.52761308373859162</v>
      </c>
      <c r="CX17" s="38">
        <f t="shared" si="39"/>
        <v>0.23982412897208713</v>
      </c>
      <c r="CY17" s="40">
        <v>41.42</v>
      </c>
      <c r="CZ17" s="40">
        <v>50.87</v>
      </c>
      <c r="DA17" s="40">
        <v>50.93</v>
      </c>
      <c r="DB17" s="40">
        <v>59.11</v>
      </c>
      <c r="DC17" s="40">
        <v>46.52</v>
      </c>
      <c r="DD17" s="40">
        <v>50.32</v>
      </c>
      <c r="DE17">
        <v>0</v>
      </c>
      <c r="DF17">
        <v>0</v>
      </c>
      <c r="DG17" s="33" t="str">
        <f t="shared" si="40"/>
        <v xml:space="preserve"> </v>
      </c>
      <c r="DH17">
        <v>0</v>
      </c>
      <c r="DI17">
        <v>0</v>
      </c>
      <c r="DJ17">
        <v>0</v>
      </c>
      <c r="DK17">
        <v>0</v>
      </c>
      <c r="DL17">
        <v>0</v>
      </c>
      <c r="DM17" s="1" t="s">
        <v>197</v>
      </c>
      <c r="DN17" t="s">
        <v>198</v>
      </c>
    </row>
    <row r="18" spans="1:118" x14ac:dyDescent="0.25">
      <c r="A18" t="s">
        <v>199</v>
      </c>
      <c r="B18" t="s">
        <v>200</v>
      </c>
      <c r="C18" s="1" t="s">
        <v>130</v>
      </c>
      <c r="D18" s="2" t="s">
        <v>131</v>
      </c>
      <c r="E18">
        <v>81</v>
      </c>
      <c r="F18">
        <f>(24/81)</f>
        <v>0.29629629629629628</v>
      </c>
      <c r="G18" t="s">
        <v>544</v>
      </c>
      <c r="H18">
        <f>(43/62)</f>
        <v>0.69354838709677424</v>
      </c>
      <c r="I18">
        <v>8</v>
      </c>
      <c r="J18">
        <v>13</v>
      </c>
      <c r="K18" s="29">
        <f t="shared" si="0"/>
        <v>21</v>
      </c>
      <c r="L18" s="30">
        <f t="shared" si="1"/>
        <v>1.2695214105793451</v>
      </c>
      <c r="M18" s="20">
        <v>7</v>
      </c>
      <c r="N18" s="20">
        <v>9</v>
      </c>
      <c r="O18" s="20">
        <v>3</v>
      </c>
      <c r="P18" s="20">
        <v>87</v>
      </c>
      <c r="Q18" s="20">
        <v>47</v>
      </c>
      <c r="R18" s="20">
        <v>42</v>
      </c>
      <c r="S18" s="20">
        <v>118</v>
      </c>
      <c r="T18" s="31">
        <f t="shared" si="2"/>
        <v>9.1954022988505746E-2</v>
      </c>
      <c r="U18" s="31">
        <f t="shared" si="3"/>
        <v>4.5454545454545456E-2</v>
      </c>
      <c r="V18">
        <v>59550</v>
      </c>
      <c r="W18" s="32">
        <f t="shared" si="4"/>
        <v>12.253086419753087</v>
      </c>
      <c r="X18" s="23">
        <v>956.2</v>
      </c>
      <c r="Y18" s="32">
        <f t="shared" si="5"/>
        <v>11.804938271604939</v>
      </c>
      <c r="Z18" s="23">
        <v>2769.38</v>
      </c>
      <c r="AA18" s="32">
        <f t="shared" si="6"/>
        <v>34.189876543209877</v>
      </c>
      <c r="AB18" s="33">
        <f t="shared" si="7"/>
        <v>0.25665802371711249</v>
      </c>
      <c r="AC18" s="34">
        <f t="shared" si="8"/>
        <v>145.73076923076923</v>
      </c>
      <c r="AD18" s="20">
        <v>23</v>
      </c>
      <c r="AE18" s="20">
        <v>49</v>
      </c>
      <c r="AF18" s="20">
        <v>100</v>
      </c>
      <c r="AG18" s="20">
        <v>12</v>
      </c>
      <c r="AH18" s="20">
        <v>37</v>
      </c>
      <c r="AI18" s="31">
        <f t="shared" si="9"/>
        <v>0.26923076923076922</v>
      </c>
      <c r="AJ18" s="31">
        <f t="shared" si="10"/>
        <v>0.46153846153846156</v>
      </c>
      <c r="AK18" s="31">
        <f t="shared" si="11"/>
        <v>0.73076923076923084</v>
      </c>
      <c r="AL18" s="20">
        <v>244</v>
      </c>
      <c r="AM18" s="33">
        <f t="shared" si="12"/>
        <v>0.26666666666666666</v>
      </c>
      <c r="AN18" s="20">
        <v>309</v>
      </c>
      <c r="AO18" s="33">
        <f t="shared" si="13"/>
        <v>0.3377049180327869</v>
      </c>
      <c r="AP18" s="20">
        <v>362</v>
      </c>
      <c r="AQ18" s="33">
        <f t="shared" si="14"/>
        <v>0.39562841530054643</v>
      </c>
      <c r="AR18" s="33">
        <f t="shared" si="15"/>
        <v>0.44122965641952983</v>
      </c>
      <c r="AS18" s="1">
        <v>5</v>
      </c>
      <c r="AT18" s="23">
        <v>-4.91</v>
      </c>
      <c r="AU18" s="20">
        <v>17.29</v>
      </c>
      <c r="AV18" s="35">
        <v>9</v>
      </c>
      <c r="AW18" s="36">
        <v>0.90500000000000003</v>
      </c>
      <c r="AX18" s="1">
        <v>1</v>
      </c>
      <c r="AY18" s="36">
        <v>1.0489999999999999</v>
      </c>
      <c r="AZ18" s="20">
        <v>50.45</v>
      </c>
      <c r="BA18" s="20">
        <v>17.7</v>
      </c>
      <c r="BB18" s="36">
        <v>-0.65600000000000003</v>
      </c>
      <c r="BC18" s="36">
        <v>-6.9080000000000004</v>
      </c>
      <c r="BD18" s="20">
        <v>47.46</v>
      </c>
      <c r="BE18" s="33">
        <f t="shared" si="16"/>
        <v>6.1757719714964368E-2</v>
      </c>
      <c r="BF18" s="37">
        <f t="shared" si="17"/>
        <v>0.92307692307692313</v>
      </c>
      <c r="BG18" s="35">
        <f t="shared" si="18"/>
        <v>984.83464279188752</v>
      </c>
      <c r="BH18" s="33">
        <f t="shared" si="19"/>
        <v>-1.5165357208112504E-2</v>
      </c>
      <c r="BI18" s="38">
        <f t="shared" si="20"/>
        <v>1.6314578540054381</v>
      </c>
      <c r="BJ18" s="38">
        <f t="shared" si="21"/>
        <v>2.2589416440075296</v>
      </c>
      <c r="BK18" s="32">
        <f t="shared" si="22"/>
        <v>26.417067559088057</v>
      </c>
      <c r="BL18" s="32">
        <f t="shared" si="23"/>
        <v>29.366241372097885</v>
      </c>
      <c r="BM18" s="32">
        <f t="shared" si="24"/>
        <v>49.94770968416649</v>
      </c>
      <c r="BN18" s="32">
        <f t="shared" si="25"/>
        <v>56.097050826186987</v>
      </c>
      <c r="BO18" s="32">
        <f t="shared" si="26"/>
        <v>-6.1493411420204964</v>
      </c>
      <c r="BP18" s="20">
        <v>26</v>
      </c>
      <c r="BQ18" s="20">
        <v>36</v>
      </c>
      <c r="BR18" s="35">
        <v>395</v>
      </c>
      <c r="BS18" s="35">
        <v>432</v>
      </c>
      <c r="BT18" s="20">
        <v>171</v>
      </c>
      <c r="BU18" s="20">
        <v>207</v>
      </c>
      <c r="BV18" s="20">
        <v>204</v>
      </c>
      <c r="BW18" s="20">
        <v>219</v>
      </c>
      <c r="BX18" s="20">
        <v>383</v>
      </c>
      <c r="BY18" s="20">
        <v>432</v>
      </c>
      <c r="BZ18" s="33">
        <f t="shared" si="27"/>
        <v>0.46993865030674847</v>
      </c>
      <c r="CA18" s="23">
        <v>1.33</v>
      </c>
      <c r="CB18" s="39">
        <f t="shared" si="28"/>
        <v>3.1281471039107878</v>
      </c>
      <c r="CC18" s="38">
        <f t="shared" si="29"/>
        <v>2.0324219695136705</v>
      </c>
      <c r="CD18" s="38">
        <f t="shared" si="30"/>
        <v>2.1614646342446973</v>
      </c>
      <c r="CE18" s="32">
        <f t="shared" si="31"/>
        <v>26.711831599322526</v>
      </c>
      <c r="CF18" s="32">
        <f t="shared" si="32"/>
        <v>30.69602387289298</v>
      </c>
      <c r="CG18" s="32">
        <f t="shared" si="33"/>
        <v>51.294459230583115</v>
      </c>
      <c r="CH18" s="32">
        <f t="shared" si="34"/>
        <v>58.391805790789583</v>
      </c>
      <c r="CI18" s="32">
        <f t="shared" si="35"/>
        <v>0.94800541818597139</v>
      </c>
      <c r="CJ18">
        <v>3719.7</v>
      </c>
      <c r="CK18">
        <v>126</v>
      </c>
      <c r="CL18">
        <v>134</v>
      </c>
      <c r="CM18" s="35">
        <v>1530</v>
      </c>
      <c r="CN18">
        <v>1769</v>
      </c>
      <c r="CO18">
        <v>701</v>
      </c>
      <c r="CP18">
        <v>836</v>
      </c>
      <c r="CQ18">
        <v>823</v>
      </c>
      <c r="CR18">
        <v>881</v>
      </c>
      <c r="CS18" s="20">
        <v>8</v>
      </c>
      <c r="CT18" s="20">
        <v>12</v>
      </c>
      <c r="CU18" s="35">
        <f t="shared" si="36"/>
        <v>4</v>
      </c>
      <c r="CV18" s="38">
        <f t="shared" si="37"/>
        <v>0.48362720403022669</v>
      </c>
      <c r="CW18" s="38">
        <f t="shared" si="38"/>
        <v>0.72544080604534</v>
      </c>
      <c r="CX18" s="38">
        <f t="shared" si="39"/>
        <v>0.24181360201511334</v>
      </c>
      <c r="CY18" s="40">
        <v>31.14</v>
      </c>
      <c r="CZ18" s="40">
        <v>37.479999999999997</v>
      </c>
      <c r="DA18" s="40">
        <v>58.05</v>
      </c>
      <c r="DB18" s="40">
        <v>36.94</v>
      </c>
      <c r="DC18" s="40">
        <v>32.57</v>
      </c>
      <c r="DD18" s="40">
        <v>35.200000000000003</v>
      </c>
      <c r="DE18">
        <v>13</v>
      </c>
      <c r="DF18">
        <v>5</v>
      </c>
      <c r="DG18" s="33">
        <f t="shared" si="40"/>
        <v>0.72222222222222221</v>
      </c>
      <c r="DH18">
        <v>0</v>
      </c>
      <c r="DI18">
        <v>1</v>
      </c>
      <c r="DJ18">
        <v>4</v>
      </c>
      <c r="DK18">
        <v>10</v>
      </c>
      <c r="DL18">
        <v>4</v>
      </c>
      <c r="DM18" s="1" t="s">
        <v>201</v>
      </c>
      <c r="DN18" t="s">
        <v>202</v>
      </c>
    </row>
    <row r="19" spans="1:118" x14ac:dyDescent="0.25">
      <c r="A19" t="s">
        <v>203</v>
      </c>
      <c r="B19" t="s">
        <v>204</v>
      </c>
      <c r="C19" s="1" t="s">
        <v>205</v>
      </c>
      <c r="D19" s="2" t="s">
        <v>142</v>
      </c>
      <c r="E19">
        <v>79</v>
      </c>
      <c r="F19">
        <f>(22/79)</f>
        <v>0.27848101265822783</v>
      </c>
      <c r="G19" t="s">
        <v>538</v>
      </c>
      <c r="H19">
        <f>(23/37)</f>
        <v>0.6216216216216216</v>
      </c>
      <c r="I19">
        <v>3</v>
      </c>
      <c r="J19">
        <v>12</v>
      </c>
      <c r="K19" s="29">
        <f t="shared" si="0"/>
        <v>15</v>
      </c>
      <c r="L19" s="30">
        <f t="shared" si="1"/>
        <v>0.7375134869364508</v>
      </c>
      <c r="M19" s="20">
        <v>3</v>
      </c>
      <c r="N19" s="20">
        <v>10</v>
      </c>
      <c r="O19" s="20">
        <v>1</v>
      </c>
      <c r="P19" s="20">
        <v>78</v>
      </c>
      <c r="Q19" s="20">
        <v>42</v>
      </c>
      <c r="R19" s="20">
        <v>71</v>
      </c>
      <c r="S19" s="20">
        <v>48</v>
      </c>
      <c r="T19" s="31">
        <f t="shared" si="2"/>
        <v>3.8461538461538464E-2</v>
      </c>
      <c r="U19" s="31">
        <f t="shared" si="3"/>
        <v>1.5706806282722512E-2</v>
      </c>
      <c r="V19">
        <v>73219</v>
      </c>
      <c r="W19" s="32">
        <f t="shared" si="4"/>
        <v>15.447046413502109</v>
      </c>
      <c r="X19" s="23">
        <v>1175.22</v>
      </c>
      <c r="Y19" s="32">
        <f t="shared" si="5"/>
        <v>14.876202531645569</v>
      </c>
      <c r="Z19" s="23">
        <v>2721.75</v>
      </c>
      <c r="AA19" s="32">
        <f t="shared" si="6"/>
        <v>34.452531645569621</v>
      </c>
      <c r="AB19" s="33">
        <f t="shared" si="7"/>
        <v>0.30157276037536856</v>
      </c>
      <c r="AC19" s="34">
        <f t="shared" si="8"/>
        <v>131.66666666666666</v>
      </c>
      <c r="AD19" s="20">
        <v>73</v>
      </c>
      <c r="AE19" s="20">
        <v>63</v>
      </c>
      <c r="AF19" s="20">
        <v>68</v>
      </c>
      <c r="AG19" s="20">
        <v>39</v>
      </c>
      <c r="AH19" s="20">
        <v>31</v>
      </c>
      <c r="AI19" s="31">
        <f t="shared" si="9"/>
        <v>7.1428571428571425E-2</v>
      </c>
      <c r="AJ19" s="31">
        <f t="shared" si="10"/>
        <v>0.26190476190476192</v>
      </c>
      <c r="AK19" s="31">
        <f t="shared" si="11"/>
        <v>0.33333333333333337</v>
      </c>
      <c r="AL19" s="20">
        <v>345</v>
      </c>
      <c r="AM19" s="33">
        <f t="shared" si="12"/>
        <v>0.34989858012170383</v>
      </c>
      <c r="AN19" s="20">
        <v>283</v>
      </c>
      <c r="AO19" s="33">
        <f t="shared" si="13"/>
        <v>0.2870182555780933</v>
      </c>
      <c r="AP19" s="20">
        <v>358</v>
      </c>
      <c r="AQ19" s="33">
        <f t="shared" si="14"/>
        <v>0.36308316430020282</v>
      </c>
      <c r="AR19" s="33">
        <f t="shared" si="15"/>
        <v>0.54936305732484081</v>
      </c>
      <c r="AS19" s="1">
        <v>5</v>
      </c>
      <c r="AT19" s="23">
        <v>5.5</v>
      </c>
      <c r="AU19" s="20">
        <v>16.98</v>
      </c>
      <c r="AV19" s="35">
        <v>5</v>
      </c>
      <c r="AW19" s="36">
        <v>-0.60699999999999998</v>
      </c>
      <c r="AX19" s="1">
        <v>6</v>
      </c>
      <c r="AY19" s="36">
        <v>-0.98599999999999999</v>
      </c>
      <c r="AZ19" s="20">
        <v>49.58</v>
      </c>
      <c r="BA19" s="20">
        <v>15.98</v>
      </c>
      <c r="BB19" s="36">
        <v>-0.14300000000000002</v>
      </c>
      <c r="BC19" s="36">
        <v>2.3380000000000001</v>
      </c>
      <c r="BD19" s="20">
        <v>51.6</v>
      </c>
      <c r="BE19" s="33">
        <f t="shared" si="16"/>
        <v>7.5949367088607597E-2</v>
      </c>
      <c r="BF19" s="37">
        <f t="shared" si="17"/>
        <v>0.91342756183745588</v>
      </c>
      <c r="BG19" s="35">
        <f t="shared" si="18"/>
        <v>989.37692892606344</v>
      </c>
      <c r="BH19" s="33">
        <f t="shared" si="19"/>
        <v>-1.0623071073936521E-2</v>
      </c>
      <c r="BI19" s="38">
        <f t="shared" si="20"/>
        <v>2.1442793689692143</v>
      </c>
      <c r="BJ19" s="38">
        <f t="shared" si="21"/>
        <v>2.5016592637974164</v>
      </c>
      <c r="BK19" s="32">
        <f t="shared" si="22"/>
        <v>28.233011691427986</v>
      </c>
      <c r="BL19" s="32">
        <f t="shared" si="23"/>
        <v>28.896717210394648</v>
      </c>
      <c r="BM19" s="32">
        <f t="shared" si="24"/>
        <v>54.066472660438045</v>
      </c>
      <c r="BN19" s="32">
        <f t="shared" si="25"/>
        <v>54.423852555266244</v>
      </c>
      <c r="BO19" s="32">
        <f t="shared" si="26"/>
        <v>-0.35737989482819899</v>
      </c>
      <c r="BP19" s="20">
        <v>42</v>
      </c>
      <c r="BQ19" s="20">
        <v>49</v>
      </c>
      <c r="BR19" s="35">
        <v>511</v>
      </c>
      <c r="BS19" s="35">
        <v>517</v>
      </c>
      <c r="BT19" s="20">
        <v>231</v>
      </c>
      <c r="BU19" s="20">
        <v>265</v>
      </c>
      <c r="BV19" s="20">
        <v>275</v>
      </c>
      <c r="BW19" s="20">
        <v>235</v>
      </c>
      <c r="BX19" s="20">
        <v>496</v>
      </c>
      <c r="BY19" s="20">
        <v>573</v>
      </c>
      <c r="BZ19" s="33">
        <f t="shared" si="27"/>
        <v>0.46398503274087932</v>
      </c>
      <c r="CA19" s="23">
        <v>-4.21</v>
      </c>
      <c r="CB19" s="39">
        <f t="shared" si="28"/>
        <v>-4.956093270624379</v>
      </c>
      <c r="CC19" s="38">
        <f t="shared" si="29"/>
        <v>1.9880732725734012</v>
      </c>
      <c r="CD19" s="38">
        <f t="shared" si="30"/>
        <v>2.3579473697963595</v>
      </c>
      <c r="CE19" s="32">
        <f t="shared" si="31"/>
        <v>28.434071224014925</v>
      </c>
      <c r="CF19" s="32">
        <f t="shared" si="32"/>
        <v>27.678911608851386</v>
      </c>
      <c r="CG19" s="32">
        <f t="shared" si="33"/>
        <v>54.571840761103985</v>
      </c>
      <c r="CH19" s="32">
        <f t="shared" si="34"/>
        <v>52.106013446284265</v>
      </c>
      <c r="CI19" s="32">
        <f t="shared" si="35"/>
        <v>-2.8232072096479186</v>
      </c>
      <c r="CJ19">
        <v>3893.2166670000001</v>
      </c>
      <c r="CK19">
        <v>129</v>
      </c>
      <c r="CL19">
        <v>153</v>
      </c>
      <c r="CM19" s="35">
        <v>1716</v>
      </c>
      <c r="CN19">
        <v>1643</v>
      </c>
      <c r="CO19">
        <v>781</v>
      </c>
      <c r="CP19">
        <v>791</v>
      </c>
      <c r="CQ19">
        <v>915</v>
      </c>
      <c r="CR19">
        <v>794</v>
      </c>
      <c r="CS19" s="20">
        <v>10</v>
      </c>
      <c r="CT19" s="20">
        <v>3</v>
      </c>
      <c r="CU19" s="35">
        <f t="shared" si="36"/>
        <v>-7</v>
      </c>
      <c r="CV19" s="38">
        <f t="shared" si="37"/>
        <v>0.49167565795763402</v>
      </c>
      <c r="CW19" s="38">
        <f t="shared" si="38"/>
        <v>0.14750269738729019</v>
      </c>
      <c r="CX19" s="38">
        <f t="shared" si="39"/>
        <v>-0.34417296057034374</v>
      </c>
      <c r="CY19" s="40">
        <v>44.9</v>
      </c>
      <c r="CZ19" s="40">
        <v>48.21</v>
      </c>
      <c r="DA19" s="40">
        <v>52.93</v>
      </c>
      <c r="DB19" s="40">
        <v>64.239999999999995</v>
      </c>
      <c r="DC19" s="40">
        <v>46.62</v>
      </c>
      <c r="DD19" s="40">
        <v>49.69</v>
      </c>
      <c r="DE19">
        <v>0</v>
      </c>
      <c r="DF19">
        <v>0</v>
      </c>
      <c r="DG19" s="33" t="str">
        <f t="shared" si="40"/>
        <v xml:space="preserve"> </v>
      </c>
      <c r="DH19">
        <v>0</v>
      </c>
      <c r="DI19">
        <v>0</v>
      </c>
      <c r="DJ19">
        <v>0</v>
      </c>
      <c r="DK19">
        <v>0</v>
      </c>
      <c r="DL19">
        <v>0</v>
      </c>
      <c r="DM19" s="1" t="s">
        <v>206</v>
      </c>
      <c r="DN19" t="s">
        <v>207</v>
      </c>
    </row>
    <row r="20" spans="1:118" x14ac:dyDescent="0.25">
      <c r="A20" t="s">
        <v>208</v>
      </c>
      <c r="B20" t="s">
        <v>209</v>
      </c>
      <c r="C20" s="1" t="s">
        <v>210</v>
      </c>
      <c r="D20" s="2" t="s">
        <v>125</v>
      </c>
      <c r="E20">
        <v>81</v>
      </c>
      <c r="F20">
        <f>(20/81)</f>
        <v>0.24691358024691357</v>
      </c>
      <c r="G20" t="s">
        <v>544</v>
      </c>
      <c r="H20">
        <f>(24/37)</f>
        <v>0.64864864864864868</v>
      </c>
      <c r="I20">
        <v>9</v>
      </c>
      <c r="J20">
        <v>11</v>
      </c>
      <c r="K20" s="29">
        <f t="shared" si="0"/>
        <v>20</v>
      </c>
      <c r="L20" s="30">
        <f t="shared" si="1"/>
        <v>1.2280611983830527</v>
      </c>
      <c r="M20" s="20">
        <v>9</v>
      </c>
      <c r="N20" s="20">
        <v>6</v>
      </c>
      <c r="O20" s="20">
        <v>5</v>
      </c>
      <c r="P20" s="20">
        <v>91</v>
      </c>
      <c r="Q20" s="20">
        <v>31</v>
      </c>
      <c r="R20" s="20">
        <v>29</v>
      </c>
      <c r="S20" s="20">
        <v>100</v>
      </c>
      <c r="T20" s="31">
        <f t="shared" si="2"/>
        <v>9.8901098901098897E-2</v>
      </c>
      <c r="U20" s="31">
        <f t="shared" si="3"/>
        <v>5.9602649006622516E-2</v>
      </c>
      <c r="V20">
        <v>58629</v>
      </c>
      <c r="W20" s="32">
        <f t="shared" si="4"/>
        <v>12.063580246913579</v>
      </c>
      <c r="X20" s="23">
        <v>941.48</v>
      </c>
      <c r="Y20" s="32">
        <f t="shared" si="5"/>
        <v>11.623209876543211</v>
      </c>
      <c r="Z20" s="23">
        <v>2932.54</v>
      </c>
      <c r="AA20" s="32">
        <f t="shared" si="6"/>
        <v>36.204197530864199</v>
      </c>
      <c r="AB20" s="33">
        <f t="shared" si="7"/>
        <v>0.24302404220938459</v>
      </c>
      <c r="AC20" s="34">
        <f t="shared" si="8"/>
        <v>85.354838709677409</v>
      </c>
      <c r="AD20" s="20">
        <v>33</v>
      </c>
      <c r="AE20" s="20">
        <v>36</v>
      </c>
      <c r="AF20" s="20">
        <v>72</v>
      </c>
      <c r="AG20" s="20">
        <v>17</v>
      </c>
      <c r="AH20" s="20">
        <v>32</v>
      </c>
      <c r="AI20" s="31">
        <f t="shared" si="9"/>
        <v>0.29032258064516131</v>
      </c>
      <c r="AJ20" s="31">
        <f t="shared" si="10"/>
        <v>0.35483870967741937</v>
      </c>
      <c r="AK20" s="31">
        <f t="shared" si="11"/>
        <v>0.64516129032258074</v>
      </c>
      <c r="AL20" s="20">
        <v>246</v>
      </c>
      <c r="AM20" s="33">
        <f t="shared" si="12"/>
        <v>0.29320619785458879</v>
      </c>
      <c r="AN20" s="20">
        <v>283</v>
      </c>
      <c r="AO20" s="33">
        <f t="shared" si="13"/>
        <v>0.33730631704410013</v>
      </c>
      <c r="AP20" s="20">
        <v>310</v>
      </c>
      <c r="AQ20" s="33">
        <f t="shared" si="14"/>
        <v>0.36948748510131108</v>
      </c>
      <c r="AR20" s="33">
        <f t="shared" si="15"/>
        <v>0.46502835538752363</v>
      </c>
      <c r="AS20" s="1">
        <v>8</v>
      </c>
      <c r="AT20" s="23">
        <v>-0.86</v>
      </c>
      <c r="AU20" s="20">
        <v>17.12</v>
      </c>
      <c r="AV20" s="35">
        <v>9</v>
      </c>
      <c r="AW20" s="36">
        <v>0.13</v>
      </c>
      <c r="AX20" s="1">
        <v>8</v>
      </c>
      <c r="AY20" s="36">
        <v>0.26300000000000001</v>
      </c>
      <c r="AZ20" s="20">
        <v>49.97</v>
      </c>
      <c r="BA20" s="20">
        <v>17.48</v>
      </c>
      <c r="BB20" s="36">
        <v>-0.9</v>
      </c>
      <c r="BC20" s="36">
        <v>-5.92</v>
      </c>
      <c r="BD20" s="20">
        <v>48.27</v>
      </c>
      <c r="BE20" s="33">
        <f t="shared" si="16"/>
        <v>7.029478458049887E-2</v>
      </c>
      <c r="BF20" s="37">
        <f t="shared" si="17"/>
        <v>0.91255605381165916</v>
      </c>
      <c r="BG20" s="35">
        <f t="shared" si="18"/>
        <v>982.85083839215804</v>
      </c>
      <c r="BH20" s="33">
        <f t="shared" si="19"/>
        <v>-1.7149161607841967E-2</v>
      </c>
      <c r="BI20" s="38">
        <f t="shared" si="20"/>
        <v>1.9756128648510858</v>
      </c>
      <c r="BJ20" s="38">
        <f t="shared" si="21"/>
        <v>2.4854484428771721</v>
      </c>
      <c r="BK20" s="32">
        <f t="shared" si="22"/>
        <v>28.104686238688025</v>
      </c>
      <c r="BL20" s="32">
        <f t="shared" si="23"/>
        <v>28.423333474954326</v>
      </c>
      <c r="BM20" s="32">
        <f t="shared" si="24"/>
        <v>51.429663933381484</v>
      </c>
      <c r="BN20" s="32">
        <f t="shared" si="25"/>
        <v>52.194417300420611</v>
      </c>
      <c r="BO20" s="32">
        <f t="shared" si="26"/>
        <v>-0.76475336703912689</v>
      </c>
      <c r="BP20" s="20">
        <v>31</v>
      </c>
      <c r="BQ20" s="20">
        <v>39</v>
      </c>
      <c r="BR20" s="35">
        <v>410</v>
      </c>
      <c r="BS20" s="35">
        <v>407</v>
      </c>
      <c r="BT20" s="20">
        <v>168</v>
      </c>
      <c r="BU20" s="20">
        <v>146</v>
      </c>
      <c r="BV20" s="20">
        <v>198</v>
      </c>
      <c r="BW20" s="20">
        <v>227</v>
      </c>
      <c r="BX20" s="20">
        <v>396</v>
      </c>
      <c r="BY20" s="20">
        <v>360</v>
      </c>
      <c r="BZ20" s="33">
        <f t="shared" si="27"/>
        <v>0.52380952380952384</v>
      </c>
      <c r="CA20" s="23">
        <v>2.9</v>
      </c>
      <c r="CB20" s="39">
        <f t="shared" si="28"/>
        <v>6.167566103660306</v>
      </c>
      <c r="CC20" s="38">
        <f t="shared" si="29"/>
        <v>2.2636536299856584</v>
      </c>
      <c r="CD20" s="38">
        <f t="shared" si="30"/>
        <v>2.4031939222450482</v>
      </c>
      <c r="CE20" s="32">
        <f t="shared" si="31"/>
        <v>28.714291251598901</v>
      </c>
      <c r="CF20" s="32">
        <f t="shared" si="32"/>
        <v>30.063180743439666</v>
      </c>
      <c r="CG20" s="32">
        <f t="shared" si="33"/>
        <v>52.513663320283733</v>
      </c>
      <c r="CH20" s="32">
        <f t="shared" si="34"/>
        <v>57.102988487925892</v>
      </c>
      <c r="CI20" s="32">
        <f t="shared" si="35"/>
        <v>3.8245718006030316</v>
      </c>
      <c r="CJ20">
        <v>3869.85</v>
      </c>
      <c r="CK20">
        <v>146</v>
      </c>
      <c r="CL20">
        <v>155</v>
      </c>
      <c r="CM20" s="35">
        <v>1706</v>
      </c>
      <c r="CN20">
        <v>1784</v>
      </c>
      <c r="CO20">
        <v>675</v>
      </c>
      <c r="CP20">
        <v>749</v>
      </c>
      <c r="CQ20">
        <v>860</v>
      </c>
      <c r="CR20">
        <v>995</v>
      </c>
      <c r="CS20" s="20">
        <v>2</v>
      </c>
      <c r="CT20" s="20">
        <v>6</v>
      </c>
      <c r="CU20" s="35">
        <f t="shared" si="36"/>
        <v>4</v>
      </c>
      <c r="CV20" s="38">
        <f t="shared" si="37"/>
        <v>0.12280611983830529</v>
      </c>
      <c r="CW20" s="38">
        <f t="shared" si="38"/>
        <v>0.36841835951491586</v>
      </c>
      <c r="CX20" s="38">
        <f t="shared" si="39"/>
        <v>0.24561223967661058</v>
      </c>
      <c r="CY20" s="40">
        <v>35.85</v>
      </c>
      <c r="CZ20" s="40">
        <v>33.36</v>
      </c>
      <c r="DA20" s="40">
        <v>28.74</v>
      </c>
      <c r="DB20" s="40">
        <v>39.270000000000003</v>
      </c>
      <c r="DC20" s="40">
        <v>34.14</v>
      </c>
      <c r="DD20" s="40">
        <v>37.270000000000003</v>
      </c>
      <c r="DE20">
        <v>352</v>
      </c>
      <c r="DF20">
        <v>401</v>
      </c>
      <c r="DG20" s="33">
        <f t="shared" si="40"/>
        <v>0.46746347941567062</v>
      </c>
      <c r="DH20">
        <v>1.38</v>
      </c>
      <c r="DI20">
        <v>-18.7</v>
      </c>
      <c r="DJ20">
        <v>197</v>
      </c>
      <c r="DK20">
        <v>276</v>
      </c>
      <c r="DL20">
        <v>252</v>
      </c>
      <c r="DM20" s="1" t="s">
        <v>211</v>
      </c>
      <c r="DN20" t="s">
        <v>212</v>
      </c>
    </row>
    <row r="21" spans="1:118" x14ac:dyDescent="0.25">
      <c r="A21" t="s">
        <v>213</v>
      </c>
      <c r="B21" t="s">
        <v>214</v>
      </c>
      <c r="C21" s="1" t="s">
        <v>205</v>
      </c>
      <c r="D21" s="2" t="s">
        <v>142</v>
      </c>
      <c r="E21">
        <v>63</v>
      </c>
      <c r="F21">
        <f>(20/63)</f>
        <v>0.31746031746031744</v>
      </c>
      <c r="G21" t="s">
        <v>538</v>
      </c>
      <c r="H21">
        <f>(17/34)</f>
        <v>0.5</v>
      </c>
      <c r="I21">
        <v>2</v>
      </c>
      <c r="J21">
        <v>13</v>
      </c>
      <c r="K21" s="29">
        <f t="shared" si="0"/>
        <v>15</v>
      </c>
      <c r="L21" s="30">
        <f t="shared" si="1"/>
        <v>0.79276528275295077</v>
      </c>
      <c r="M21" s="20">
        <v>2</v>
      </c>
      <c r="N21" s="20">
        <v>2</v>
      </c>
      <c r="O21" s="20">
        <v>8</v>
      </c>
      <c r="P21" s="20">
        <v>69</v>
      </c>
      <c r="Q21" s="20">
        <v>31</v>
      </c>
      <c r="R21" s="20">
        <v>50</v>
      </c>
      <c r="S21" s="20">
        <v>41</v>
      </c>
      <c r="T21" s="31">
        <f t="shared" si="2"/>
        <v>2.8985507246376812E-2</v>
      </c>
      <c r="U21" s="31">
        <f t="shared" si="3"/>
        <v>1.3333333333333334E-2</v>
      </c>
      <c r="V21">
        <v>68116</v>
      </c>
      <c r="W21" s="32">
        <f t="shared" si="4"/>
        <v>18.020105820105819</v>
      </c>
      <c r="X21" s="23">
        <v>1088.25</v>
      </c>
      <c r="Y21" s="32">
        <f t="shared" si="5"/>
        <v>17.273809523809526</v>
      </c>
      <c r="Z21" s="23">
        <v>2018.08</v>
      </c>
      <c r="AA21" s="32">
        <f t="shared" si="6"/>
        <v>32.03301587301587</v>
      </c>
      <c r="AB21" s="33">
        <f t="shared" si="7"/>
        <v>0.35033302965235508</v>
      </c>
      <c r="AC21" s="34">
        <f t="shared" si="8"/>
        <v>28.918918918918919</v>
      </c>
      <c r="AD21" s="20">
        <v>88</v>
      </c>
      <c r="AE21" s="20">
        <v>33</v>
      </c>
      <c r="AF21" s="20">
        <v>99</v>
      </c>
      <c r="AG21" s="20">
        <v>22</v>
      </c>
      <c r="AH21" s="20">
        <v>42</v>
      </c>
      <c r="AI21" s="31">
        <f t="shared" si="9"/>
        <v>5.4054054054054057E-2</v>
      </c>
      <c r="AJ21" s="31">
        <f t="shared" si="10"/>
        <v>0.27027027027027029</v>
      </c>
      <c r="AK21" s="31">
        <f t="shared" si="11"/>
        <v>0.32432432432432434</v>
      </c>
      <c r="AL21" s="20">
        <v>338</v>
      </c>
      <c r="AM21" s="33">
        <f t="shared" si="12"/>
        <v>0.32847424684159376</v>
      </c>
      <c r="AN21" s="20">
        <v>336</v>
      </c>
      <c r="AO21" s="33">
        <f t="shared" si="13"/>
        <v>0.32653061224489793</v>
      </c>
      <c r="AP21" s="20">
        <v>355</v>
      </c>
      <c r="AQ21" s="33">
        <f t="shared" si="14"/>
        <v>0.34499514091350825</v>
      </c>
      <c r="AR21" s="33">
        <f t="shared" si="15"/>
        <v>0.50148367952522255</v>
      </c>
      <c r="AS21" s="1">
        <v>3</v>
      </c>
      <c r="AT21" s="23">
        <v>-0.25</v>
      </c>
      <c r="AU21" s="20">
        <v>17.52</v>
      </c>
      <c r="AV21" s="35">
        <v>3</v>
      </c>
      <c r="AW21" s="36">
        <v>0.997</v>
      </c>
      <c r="AX21" s="1">
        <v>3</v>
      </c>
      <c r="AY21" s="36">
        <v>0.13900000000000001</v>
      </c>
      <c r="AZ21" s="20">
        <v>49.94</v>
      </c>
      <c r="BA21" s="20">
        <v>16.8</v>
      </c>
      <c r="BB21" s="36">
        <v>0.3</v>
      </c>
      <c r="BC21" s="36">
        <v>2.827</v>
      </c>
      <c r="BD21" s="20">
        <v>51.97</v>
      </c>
      <c r="BE21" s="33">
        <f t="shared" si="16"/>
        <v>6.9158878504672894E-2</v>
      </c>
      <c r="BF21" s="37">
        <f t="shared" si="17"/>
        <v>0.9213709677419355</v>
      </c>
      <c r="BG21" s="35">
        <f t="shared" si="18"/>
        <v>990.52984624660837</v>
      </c>
      <c r="BH21" s="33">
        <f t="shared" si="19"/>
        <v>-9.470153753391608E-3</v>
      </c>
      <c r="BI21" s="38">
        <f t="shared" si="20"/>
        <v>2.0399724328049622</v>
      </c>
      <c r="BJ21" s="38">
        <f t="shared" si="21"/>
        <v>2.1502412129565815</v>
      </c>
      <c r="BK21" s="32">
        <f t="shared" si="22"/>
        <v>29.496898690558236</v>
      </c>
      <c r="BL21" s="32">
        <f t="shared" si="23"/>
        <v>27.346657477601653</v>
      </c>
      <c r="BM21" s="32">
        <f t="shared" si="24"/>
        <v>54.968986905582355</v>
      </c>
      <c r="BN21" s="32">
        <f t="shared" si="25"/>
        <v>53.149552033080639</v>
      </c>
      <c r="BO21" s="32">
        <f t="shared" si="26"/>
        <v>1.8194348725017164</v>
      </c>
      <c r="BP21" s="20">
        <v>37</v>
      </c>
      <c r="BQ21" s="20">
        <v>39</v>
      </c>
      <c r="BR21" s="35">
        <v>498</v>
      </c>
      <c r="BS21" s="35">
        <v>457</v>
      </c>
      <c r="BT21" s="20">
        <v>218</v>
      </c>
      <c r="BU21" s="20">
        <v>215</v>
      </c>
      <c r="BV21" s="20">
        <v>244</v>
      </c>
      <c r="BW21" s="20">
        <v>253</v>
      </c>
      <c r="BX21" s="20">
        <v>489</v>
      </c>
      <c r="BY21" s="20">
        <v>475</v>
      </c>
      <c r="BZ21" s="33">
        <f t="shared" si="27"/>
        <v>0.50726141078838172</v>
      </c>
      <c r="CA21" s="23">
        <v>3.01</v>
      </c>
      <c r="CB21" s="39">
        <f t="shared" si="28"/>
        <v>-0.9941734361036243</v>
      </c>
      <c r="CC21" s="38">
        <f t="shared" si="29"/>
        <v>2.1279454044577171</v>
      </c>
      <c r="CD21" s="38">
        <f t="shared" si="30"/>
        <v>2.2440151537917745</v>
      </c>
      <c r="CE21" s="32">
        <f t="shared" si="31"/>
        <v>28.533813377955752</v>
      </c>
      <c r="CF21" s="32">
        <f t="shared" si="32"/>
        <v>28.591848252622786</v>
      </c>
      <c r="CG21" s="32">
        <f t="shared" si="33"/>
        <v>54.030468315003674</v>
      </c>
      <c r="CH21" s="32">
        <f t="shared" si="34"/>
        <v>53.08256536210888</v>
      </c>
      <c r="CI21" s="32">
        <f t="shared" si="35"/>
        <v>0.87153191960692311</v>
      </c>
      <c r="CJ21">
        <v>3101.583333</v>
      </c>
      <c r="CK21">
        <v>110</v>
      </c>
      <c r="CL21">
        <v>116</v>
      </c>
      <c r="CM21" s="35">
        <v>1365</v>
      </c>
      <c r="CN21">
        <v>1362</v>
      </c>
      <c r="CO21">
        <v>604</v>
      </c>
      <c r="CP21">
        <v>630</v>
      </c>
      <c r="CQ21">
        <v>714</v>
      </c>
      <c r="CR21">
        <v>636</v>
      </c>
      <c r="CS21" s="20">
        <v>2</v>
      </c>
      <c r="CT21" s="20">
        <v>8</v>
      </c>
      <c r="CU21" s="35">
        <f t="shared" si="36"/>
        <v>6</v>
      </c>
      <c r="CV21" s="38">
        <f t="shared" si="37"/>
        <v>0.10570203770039344</v>
      </c>
      <c r="CW21" s="38">
        <f t="shared" si="38"/>
        <v>0.42280815080157375</v>
      </c>
      <c r="CX21" s="38">
        <f t="shared" si="39"/>
        <v>0.31710611310118036</v>
      </c>
      <c r="CY21" s="40">
        <v>40.520000000000003</v>
      </c>
      <c r="CZ21" s="40">
        <v>39.25</v>
      </c>
      <c r="DA21" s="40">
        <v>38.03</v>
      </c>
      <c r="DB21" s="40">
        <v>63.77</v>
      </c>
      <c r="DC21" s="40">
        <v>37.9</v>
      </c>
      <c r="DD21" s="40">
        <v>44.84</v>
      </c>
      <c r="DE21">
        <v>0</v>
      </c>
      <c r="DF21">
        <v>0</v>
      </c>
      <c r="DG21" s="33" t="str">
        <f t="shared" si="40"/>
        <v xml:space="preserve"> </v>
      </c>
      <c r="DH21">
        <v>0</v>
      </c>
      <c r="DI21">
        <v>0</v>
      </c>
      <c r="DJ21">
        <v>0</v>
      </c>
      <c r="DK21">
        <v>0</v>
      </c>
      <c r="DL21">
        <v>0</v>
      </c>
      <c r="DM21" s="1" t="s">
        <v>215</v>
      </c>
      <c r="DN21" t="s">
        <v>216</v>
      </c>
    </row>
    <row r="22" spans="1:118" x14ac:dyDescent="0.25">
      <c r="A22" t="s">
        <v>217</v>
      </c>
      <c r="B22" t="s">
        <v>218</v>
      </c>
      <c r="C22" s="1" t="s">
        <v>196</v>
      </c>
      <c r="D22" s="2" t="s">
        <v>125</v>
      </c>
      <c r="E22">
        <v>69</v>
      </c>
      <c r="F22">
        <f>(18/69)</f>
        <v>0.2608695652173913</v>
      </c>
      <c r="G22" t="s">
        <v>539</v>
      </c>
      <c r="H22">
        <f>(81/56)</f>
        <v>1.4464285714285714</v>
      </c>
      <c r="I22">
        <v>8</v>
      </c>
      <c r="J22">
        <v>7</v>
      </c>
      <c r="K22" s="29">
        <f t="shared" si="0"/>
        <v>15</v>
      </c>
      <c r="L22" s="30">
        <f t="shared" si="1"/>
        <v>1.1475932419509085</v>
      </c>
      <c r="M22" s="20">
        <v>8</v>
      </c>
      <c r="N22" s="20">
        <v>3</v>
      </c>
      <c r="O22" s="20">
        <v>3</v>
      </c>
      <c r="P22" s="20">
        <v>83</v>
      </c>
      <c r="Q22" s="20">
        <v>26</v>
      </c>
      <c r="R22" s="20">
        <v>43</v>
      </c>
      <c r="S22" s="20">
        <v>82</v>
      </c>
      <c r="T22" s="31">
        <f t="shared" si="2"/>
        <v>9.6385542168674704E-2</v>
      </c>
      <c r="U22" s="31">
        <f t="shared" si="3"/>
        <v>5.2631578947368418E-2</v>
      </c>
      <c r="V22">
        <v>47055</v>
      </c>
      <c r="W22" s="32">
        <f t="shared" si="4"/>
        <v>11.365942028985506</v>
      </c>
      <c r="X22" s="23">
        <v>753.09</v>
      </c>
      <c r="Y22" s="32">
        <f t="shared" si="5"/>
        <v>10.914347826086956</v>
      </c>
      <c r="Z22" s="23">
        <v>2555.2800000000002</v>
      </c>
      <c r="AA22" s="32">
        <f t="shared" si="6"/>
        <v>37.033043478260872</v>
      </c>
      <c r="AB22" s="33">
        <f t="shared" si="7"/>
        <v>0.22763173405634796</v>
      </c>
      <c r="AC22" s="34">
        <f t="shared" si="8"/>
        <v>44.75</v>
      </c>
      <c r="AD22" s="20">
        <v>17</v>
      </c>
      <c r="AE22" s="20">
        <v>45</v>
      </c>
      <c r="AF22" s="20">
        <v>36</v>
      </c>
      <c r="AG22" s="20">
        <v>23</v>
      </c>
      <c r="AH22" s="20">
        <v>28</v>
      </c>
      <c r="AI22" s="31">
        <f t="shared" si="9"/>
        <v>0.33333333333333331</v>
      </c>
      <c r="AJ22" s="31">
        <f t="shared" si="10"/>
        <v>0.25</v>
      </c>
      <c r="AK22" s="31">
        <f t="shared" si="11"/>
        <v>0.58333333333333326</v>
      </c>
      <c r="AL22" s="20">
        <v>207</v>
      </c>
      <c r="AM22" s="33">
        <f t="shared" si="12"/>
        <v>0.32805071315372425</v>
      </c>
      <c r="AN22" s="20">
        <v>179</v>
      </c>
      <c r="AO22" s="33">
        <f t="shared" si="13"/>
        <v>0.28367670364500791</v>
      </c>
      <c r="AP22" s="20">
        <v>245</v>
      </c>
      <c r="AQ22" s="33">
        <f t="shared" si="14"/>
        <v>0.38827258320126784</v>
      </c>
      <c r="AR22" s="33">
        <f t="shared" si="15"/>
        <v>0.53626943005181349</v>
      </c>
      <c r="AS22" s="1">
        <v>13</v>
      </c>
      <c r="AT22" s="23">
        <v>4.28</v>
      </c>
      <c r="AU22" s="20">
        <v>17.09</v>
      </c>
      <c r="AV22" s="35">
        <v>12</v>
      </c>
      <c r="AW22" s="36">
        <v>-0.25800000000000001</v>
      </c>
      <c r="AX22" s="1">
        <v>12</v>
      </c>
      <c r="AY22" s="36">
        <v>0.318</v>
      </c>
      <c r="AZ22" s="20">
        <v>50.04</v>
      </c>
      <c r="BA22" s="20">
        <v>17.309999999999999</v>
      </c>
      <c r="BB22" s="36">
        <v>-0.38400000000000001</v>
      </c>
      <c r="BC22" s="36">
        <v>-5.8529999999999998</v>
      </c>
      <c r="BD22" s="20">
        <v>48.43</v>
      </c>
      <c r="BE22" s="33">
        <f t="shared" si="16"/>
        <v>6.7039106145251395E-2</v>
      </c>
      <c r="BF22" s="37">
        <f t="shared" si="17"/>
        <v>0.9301204819277108</v>
      </c>
      <c r="BG22" s="35">
        <f t="shared" si="18"/>
        <v>997.15958807296215</v>
      </c>
      <c r="BH22" s="33">
        <f t="shared" si="19"/>
        <v>-2.8404119270378086E-3</v>
      </c>
      <c r="BI22" s="38">
        <f t="shared" si="20"/>
        <v>1.9121220571246462</v>
      </c>
      <c r="BJ22" s="38">
        <f t="shared" si="21"/>
        <v>2.3104808190256145</v>
      </c>
      <c r="BK22" s="32">
        <f t="shared" si="22"/>
        <v>28.522487352109309</v>
      </c>
      <c r="BL22" s="32">
        <f t="shared" si="23"/>
        <v>33.063777237780343</v>
      </c>
      <c r="BM22" s="32">
        <f t="shared" si="24"/>
        <v>52.503684818547583</v>
      </c>
      <c r="BN22" s="32">
        <f t="shared" si="25"/>
        <v>58.001035732780942</v>
      </c>
      <c r="BO22" s="32">
        <f t="shared" si="26"/>
        <v>-5.4973509142333583</v>
      </c>
      <c r="BP22" s="20">
        <v>24</v>
      </c>
      <c r="BQ22" s="20">
        <v>29</v>
      </c>
      <c r="BR22" s="35">
        <v>334</v>
      </c>
      <c r="BS22" s="35">
        <v>386</v>
      </c>
      <c r="BT22" s="20">
        <v>121</v>
      </c>
      <c r="BU22" s="20">
        <v>154</v>
      </c>
      <c r="BV22" s="20">
        <v>180</v>
      </c>
      <c r="BW22" s="20">
        <v>159</v>
      </c>
      <c r="BX22" s="20">
        <v>299</v>
      </c>
      <c r="BY22" s="20">
        <v>386</v>
      </c>
      <c r="BZ22" s="33">
        <f t="shared" si="27"/>
        <v>0.43649635036496348</v>
      </c>
      <c r="CA22" s="23">
        <v>-0.96</v>
      </c>
      <c r="CB22" s="39">
        <f t="shared" si="28"/>
        <v>-0.28681723547688165</v>
      </c>
      <c r="CC22" s="38">
        <f t="shared" si="29"/>
        <v>1.9239301417662173</v>
      </c>
      <c r="CD22" s="38">
        <f t="shared" si="30"/>
        <v>2.341386681960774</v>
      </c>
      <c r="CE22" s="32">
        <f t="shared" si="31"/>
        <v>27.533981368484447</v>
      </c>
      <c r="CF22" s="32">
        <f t="shared" si="32"/>
        <v>31.635945633004873</v>
      </c>
      <c r="CG22" s="32">
        <f t="shared" si="33"/>
        <v>50.167385960771924</v>
      </c>
      <c r="CH22" s="32">
        <f t="shared" si="34"/>
        <v>56.374783210621423</v>
      </c>
      <c r="CI22" s="32">
        <f t="shared" si="35"/>
        <v>0.71004633561614128</v>
      </c>
      <c r="CJ22">
        <v>3305.7333330000001</v>
      </c>
      <c r="CK22">
        <v>106</v>
      </c>
      <c r="CL22">
        <v>129</v>
      </c>
      <c r="CM22" s="35">
        <v>1411</v>
      </c>
      <c r="CN22">
        <v>1614</v>
      </c>
      <c r="CO22">
        <v>536</v>
      </c>
      <c r="CP22">
        <v>636</v>
      </c>
      <c r="CQ22">
        <v>711</v>
      </c>
      <c r="CR22">
        <v>727</v>
      </c>
      <c r="CS22" s="20">
        <v>7</v>
      </c>
      <c r="CT22" s="20">
        <v>13</v>
      </c>
      <c r="CU22" s="35">
        <f t="shared" si="36"/>
        <v>6</v>
      </c>
      <c r="CV22" s="38">
        <f t="shared" si="37"/>
        <v>0.53554351291042401</v>
      </c>
      <c r="CW22" s="38">
        <f t="shared" si="38"/>
        <v>0.99458080969078744</v>
      </c>
      <c r="CX22" s="38">
        <f t="shared" si="39"/>
        <v>0.45903729678036348</v>
      </c>
      <c r="CY22" s="40">
        <v>26.58</v>
      </c>
      <c r="CZ22" s="40">
        <v>34.729999999999997</v>
      </c>
      <c r="DA22" s="40">
        <v>22.39</v>
      </c>
      <c r="DB22" s="40">
        <v>25.54</v>
      </c>
      <c r="DC22" s="40">
        <v>25.27</v>
      </c>
      <c r="DD22" s="40">
        <v>31.43</v>
      </c>
      <c r="DE22">
        <v>179</v>
      </c>
      <c r="DF22">
        <v>327</v>
      </c>
      <c r="DG22" s="33">
        <f t="shared" si="40"/>
        <v>0.35375494071146246</v>
      </c>
      <c r="DH22">
        <v>0.85</v>
      </c>
      <c r="DI22">
        <v>-22.07</v>
      </c>
      <c r="DJ22">
        <v>153</v>
      </c>
      <c r="DK22">
        <v>198</v>
      </c>
      <c r="DL22">
        <v>132</v>
      </c>
      <c r="DM22" s="1" t="s">
        <v>219</v>
      </c>
      <c r="DN22" t="s">
        <v>220</v>
      </c>
    </row>
    <row r="23" spans="1:118" x14ac:dyDescent="0.25">
      <c r="A23" t="s">
        <v>221</v>
      </c>
      <c r="B23" t="s">
        <v>222</v>
      </c>
      <c r="C23" s="1" t="s">
        <v>223</v>
      </c>
      <c r="D23" s="2" t="s">
        <v>224</v>
      </c>
      <c r="E23">
        <v>45</v>
      </c>
      <c r="F23">
        <f>(18/45)</f>
        <v>0.4</v>
      </c>
      <c r="G23" t="s">
        <v>544</v>
      </c>
      <c r="H23">
        <f>(67/68)</f>
        <v>0.98529411764705888</v>
      </c>
      <c r="I23">
        <v>3</v>
      </c>
      <c r="J23">
        <v>8</v>
      </c>
      <c r="K23" s="29">
        <f t="shared" si="0"/>
        <v>11</v>
      </c>
      <c r="L23" s="30">
        <f t="shared" si="1"/>
        <v>1.5920878060547581</v>
      </c>
      <c r="M23" s="20">
        <v>3</v>
      </c>
      <c r="N23" s="20">
        <v>2</v>
      </c>
      <c r="O23" s="20">
        <v>6</v>
      </c>
      <c r="P23" s="20">
        <v>60</v>
      </c>
      <c r="Q23" s="20">
        <v>20</v>
      </c>
      <c r="R23" s="20">
        <v>16</v>
      </c>
      <c r="S23" s="20">
        <v>64</v>
      </c>
      <c r="T23" s="31">
        <f t="shared" si="2"/>
        <v>0.05</v>
      </c>
      <c r="U23" s="31">
        <f t="shared" si="3"/>
        <v>3.125E-2</v>
      </c>
      <c r="V23">
        <v>24873</v>
      </c>
      <c r="W23" s="32">
        <f t="shared" si="4"/>
        <v>9.2122222222222216</v>
      </c>
      <c r="X23" s="23">
        <v>406.41</v>
      </c>
      <c r="Y23" s="32">
        <f t="shared" si="5"/>
        <v>9.0313333333333343</v>
      </c>
      <c r="Z23" s="23">
        <v>1662.07</v>
      </c>
      <c r="AA23" s="32">
        <f t="shared" si="6"/>
        <v>36.934888888888885</v>
      </c>
      <c r="AB23" s="33">
        <f t="shared" si="7"/>
        <v>0.19647760674504952</v>
      </c>
      <c r="AC23" s="34">
        <f t="shared" si="8"/>
        <v>35.846153846153847</v>
      </c>
      <c r="AD23" s="20">
        <v>8</v>
      </c>
      <c r="AE23" s="20">
        <v>54</v>
      </c>
      <c r="AF23" s="20">
        <v>44</v>
      </c>
      <c r="AG23" s="20">
        <v>6</v>
      </c>
      <c r="AH23" s="20">
        <v>7</v>
      </c>
      <c r="AI23" s="31">
        <f t="shared" si="9"/>
        <v>0.23076923076923078</v>
      </c>
      <c r="AJ23" s="31">
        <f t="shared" si="10"/>
        <v>0.61538461538461542</v>
      </c>
      <c r="AK23" s="31">
        <f t="shared" si="11"/>
        <v>0.84615384615384626</v>
      </c>
      <c r="AL23" s="20">
        <v>106</v>
      </c>
      <c r="AM23" s="33">
        <f t="shared" si="12"/>
        <v>0.27968337730870713</v>
      </c>
      <c r="AN23" s="20">
        <v>130</v>
      </c>
      <c r="AO23" s="33">
        <f t="shared" si="13"/>
        <v>0.34300791556728233</v>
      </c>
      <c r="AP23" s="20">
        <v>143</v>
      </c>
      <c r="AQ23" s="33">
        <f t="shared" si="14"/>
        <v>0.37730870712401055</v>
      </c>
      <c r="AR23" s="33">
        <f t="shared" si="15"/>
        <v>0.44915254237288138</v>
      </c>
      <c r="AS23" s="1">
        <v>1</v>
      </c>
      <c r="AT23" s="23">
        <v>-9.36</v>
      </c>
      <c r="AU23" s="20">
        <v>16.920000000000002</v>
      </c>
      <c r="AV23" s="35">
        <v>12</v>
      </c>
      <c r="AW23" s="36">
        <v>-0.17400000000000002</v>
      </c>
      <c r="AX23" s="1">
        <v>13</v>
      </c>
      <c r="AY23" s="36">
        <v>-0.48699999999999999</v>
      </c>
      <c r="AZ23" s="20">
        <v>49.57</v>
      </c>
      <c r="BA23" s="20">
        <v>17.02</v>
      </c>
      <c r="BB23" s="36">
        <v>-0.15</v>
      </c>
      <c r="BC23" s="36">
        <v>3.9279999999999999</v>
      </c>
      <c r="BD23" s="20">
        <v>51.44</v>
      </c>
      <c r="BE23" s="33">
        <f t="shared" si="16"/>
        <v>5.5793991416309016E-2</v>
      </c>
      <c r="BF23" s="37">
        <f t="shared" si="17"/>
        <v>0.89690721649484539</v>
      </c>
      <c r="BG23" s="35">
        <f t="shared" si="18"/>
        <v>952.70120791115448</v>
      </c>
      <c r="BH23" s="33">
        <f t="shared" si="19"/>
        <v>-4.729879208884559E-2</v>
      </c>
      <c r="BI23" s="38">
        <f t="shared" si="20"/>
        <v>1.9192441130877682</v>
      </c>
      <c r="BJ23" s="38">
        <f t="shared" si="21"/>
        <v>2.9526832509042586</v>
      </c>
      <c r="BK23" s="32">
        <f t="shared" si="22"/>
        <v>34.398759873034614</v>
      </c>
      <c r="BL23" s="32">
        <f t="shared" si="23"/>
        <v>28.641027533771314</v>
      </c>
      <c r="BM23" s="32">
        <f t="shared" si="24"/>
        <v>59.644201668266035</v>
      </c>
      <c r="BN23" s="32">
        <f t="shared" si="25"/>
        <v>51.081420240643681</v>
      </c>
      <c r="BO23" s="32">
        <f t="shared" si="26"/>
        <v>8.5627814276223546</v>
      </c>
      <c r="BP23" s="20">
        <v>13</v>
      </c>
      <c r="BQ23" s="20">
        <v>20</v>
      </c>
      <c r="BR23" s="35">
        <v>220</v>
      </c>
      <c r="BS23" s="35">
        <v>174</v>
      </c>
      <c r="BT23" s="20">
        <v>79</v>
      </c>
      <c r="BU23" s="20">
        <v>67</v>
      </c>
      <c r="BV23" s="20">
        <v>92</v>
      </c>
      <c r="BW23" s="20">
        <v>85</v>
      </c>
      <c r="BX23" s="20">
        <v>224</v>
      </c>
      <c r="BY23" s="20">
        <v>171</v>
      </c>
      <c r="BZ23" s="33">
        <f t="shared" si="27"/>
        <v>0.56708860759493673</v>
      </c>
      <c r="CA23" s="23">
        <v>3.8</v>
      </c>
      <c r="CB23" s="39">
        <f t="shared" si="28"/>
        <v>5.2781204106732025</v>
      </c>
      <c r="CC23" s="38">
        <f t="shared" si="29"/>
        <v>2.1759102557903391</v>
      </c>
      <c r="CD23" s="38">
        <f t="shared" si="30"/>
        <v>1.9148010250954981</v>
      </c>
      <c r="CE23" s="32">
        <f t="shared" si="31"/>
        <v>29.969537256418938</v>
      </c>
      <c r="CF23" s="32">
        <f t="shared" si="32"/>
        <v>28.025724094579566</v>
      </c>
      <c r="CG23" s="32">
        <f t="shared" si="33"/>
        <v>57.182921522170112</v>
      </c>
      <c r="CH23" s="32">
        <f t="shared" si="34"/>
        <v>51.786664087810067</v>
      </c>
      <c r="CI23" s="32">
        <f t="shared" si="35"/>
        <v>3.1665239932623095</v>
      </c>
      <c r="CJ23">
        <v>2068.1</v>
      </c>
      <c r="CK23">
        <v>75</v>
      </c>
      <c r="CL23">
        <v>66</v>
      </c>
      <c r="CM23" s="35">
        <v>958</v>
      </c>
      <c r="CN23">
        <v>900</v>
      </c>
      <c r="CO23">
        <v>419</v>
      </c>
      <c r="CP23">
        <v>389</v>
      </c>
      <c r="CQ23">
        <v>519</v>
      </c>
      <c r="CR23">
        <v>430</v>
      </c>
      <c r="CS23" s="20">
        <v>4</v>
      </c>
      <c r="CT23" s="20">
        <v>9</v>
      </c>
      <c r="CU23" s="35">
        <f t="shared" si="36"/>
        <v>5</v>
      </c>
      <c r="CV23" s="38">
        <f t="shared" si="37"/>
        <v>0.57894102038354844</v>
      </c>
      <c r="CW23" s="38">
        <f t="shared" si="38"/>
        <v>1.302617295862984</v>
      </c>
      <c r="CX23" s="38">
        <f t="shared" si="39"/>
        <v>0.72367627547943569</v>
      </c>
      <c r="CY23" s="40">
        <v>19.149999999999999</v>
      </c>
      <c r="CZ23" s="40">
        <v>14.31</v>
      </c>
      <c r="DA23" s="40">
        <v>20.93</v>
      </c>
      <c r="DB23" s="40">
        <v>8.34</v>
      </c>
      <c r="DC23" s="40">
        <v>13.83</v>
      </c>
      <c r="DD23" s="40">
        <v>14.12</v>
      </c>
      <c r="DE23">
        <v>22</v>
      </c>
      <c r="DF23">
        <v>13</v>
      </c>
      <c r="DG23" s="33">
        <f t="shared" si="40"/>
        <v>0.62857142857142856</v>
      </c>
      <c r="DH23">
        <v>-0.03</v>
      </c>
      <c r="DI23">
        <v>3.03</v>
      </c>
      <c r="DJ23">
        <v>17</v>
      </c>
      <c r="DK23">
        <v>5</v>
      </c>
      <c r="DL23">
        <v>13</v>
      </c>
      <c r="DM23" s="1" t="s">
        <v>225</v>
      </c>
      <c r="DN23" t="s">
        <v>226</v>
      </c>
    </row>
    <row r="24" spans="1:118" x14ac:dyDescent="0.25">
      <c r="A24" t="s">
        <v>227</v>
      </c>
      <c r="B24" t="s">
        <v>228</v>
      </c>
      <c r="C24" s="1" t="s">
        <v>229</v>
      </c>
      <c r="D24" s="2" t="s">
        <v>163</v>
      </c>
      <c r="E24">
        <v>44</v>
      </c>
      <c r="F24">
        <f>(17/44)</f>
        <v>0.38636363636363635</v>
      </c>
      <c r="G24" t="s">
        <v>544</v>
      </c>
      <c r="H24">
        <f>(43/60)</f>
        <v>0.71666666666666667</v>
      </c>
      <c r="I24">
        <v>6</v>
      </c>
      <c r="J24">
        <v>9</v>
      </c>
      <c r="K24" s="29">
        <f t="shared" si="0"/>
        <v>15</v>
      </c>
      <c r="L24" s="30">
        <f t="shared" si="1"/>
        <v>1.6026116634515506</v>
      </c>
      <c r="M24" s="20">
        <v>6</v>
      </c>
      <c r="N24" s="20">
        <v>4</v>
      </c>
      <c r="O24" s="20">
        <v>4</v>
      </c>
      <c r="P24" s="20">
        <v>57</v>
      </c>
      <c r="Q24" s="20">
        <v>24</v>
      </c>
      <c r="R24" s="20">
        <v>26</v>
      </c>
      <c r="S24" s="20">
        <v>63</v>
      </c>
      <c r="T24" s="31">
        <f t="shared" si="2"/>
        <v>0.10526315789473684</v>
      </c>
      <c r="U24" s="31">
        <f t="shared" si="3"/>
        <v>5.6074766355140186E-2</v>
      </c>
      <c r="V24">
        <v>33695</v>
      </c>
      <c r="W24" s="32">
        <f t="shared" si="4"/>
        <v>12.763257575757574</v>
      </c>
      <c r="X24" s="23">
        <v>541.35</v>
      </c>
      <c r="Y24" s="32">
        <f t="shared" si="5"/>
        <v>12.303409090909092</v>
      </c>
      <c r="Z24" s="23">
        <v>1579.67</v>
      </c>
      <c r="AA24" s="32">
        <f t="shared" si="6"/>
        <v>35.901590909090913</v>
      </c>
      <c r="AB24" s="33">
        <f t="shared" si="7"/>
        <v>0.25523097377676779</v>
      </c>
      <c r="AC24" s="34">
        <f t="shared" si="8"/>
        <v>48.333333333333336</v>
      </c>
      <c r="AD24" s="20">
        <v>16</v>
      </c>
      <c r="AE24" s="20">
        <v>70</v>
      </c>
      <c r="AF24" s="20">
        <v>52</v>
      </c>
      <c r="AG24" s="20">
        <v>11</v>
      </c>
      <c r="AH24" s="20">
        <v>7</v>
      </c>
      <c r="AI24" s="31">
        <f t="shared" si="9"/>
        <v>0.25</v>
      </c>
      <c r="AJ24" s="31">
        <f t="shared" si="10"/>
        <v>0.33333333333333331</v>
      </c>
      <c r="AK24" s="31">
        <f t="shared" si="11"/>
        <v>0.58333333333333326</v>
      </c>
      <c r="AL24" s="20">
        <v>214</v>
      </c>
      <c r="AM24" s="33">
        <f t="shared" si="12"/>
        <v>0.40996168582375481</v>
      </c>
      <c r="AN24" s="20">
        <v>120</v>
      </c>
      <c r="AO24" s="33">
        <f t="shared" si="13"/>
        <v>0.22988505747126436</v>
      </c>
      <c r="AP24" s="20">
        <v>188</v>
      </c>
      <c r="AQ24" s="33">
        <f t="shared" si="14"/>
        <v>0.36015325670498083</v>
      </c>
      <c r="AR24" s="33">
        <f t="shared" si="15"/>
        <v>0.64071856287425155</v>
      </c>
      <c r="AS24" s="1">
        <v>16</v>
      </c>
      <c r="AT24" s="23">
        <v>19.21</v>
      </c>
      <c r="AU24" s="20">
        <v>17.45</v>
      </c>
      <c r="AV24" s="35">
        <v>4</v>
      </c>
      <c r="AW24" s="36">
        <v>0.41699999999999998</v>
      </c>
      <c r="AX24" s="1">
        <v>5</v>
      </c>
      <c r="AY24" s="36">
        <v>-0.41400000000000003</v>
      </c>
      <c r="AZ24" s="20">
        <v>50.07</v>
      </c>
      <c r="BA24" s="20">
        <v>17.829999999999998</v>
      </c>
      <c r="BB24" s="36">
        <v>1.5209999999999999</v>
      </c>
      <c r="BC24" s="36">
        <v>4.5540000000000003</v>
      </c>
      <c r="BD24" s="20">
        <v>51.74</v>
      </c>
      <c r="BE24" s="33">
        <f t="shared" si="16"/>
        <v>8.2758620689655171E-2</v>
      </c>
      <c r="BF24" s="37">
        <f t="shared" si="17"/>
        <v>0.93233082706766912</v>
      </c>
      <c r="BG24" s="35">
        <f t="shared" si="18"/>
        <v>1015.0894477573243</v>
      </c>
      <c r="BH24" s="33">
        <f t="shared" si="19"/>
        <v>1.5089447757324292E-2</v>
      </c>
      <c r="BI24" s="38">
        <f t="shared" si="20"/>
        <v>2.6600166251039066</v>
      </c>
      <c r="BJ24" s="38">
        <f t="shared" si="21"/>
        <v>1.9950124688279303</v>
      </c>
      <c r="BK24" s="32">
        <f t="shared" si="22"/>
        <v>32.141867553338869</v>
      </c>
      <c r="BL24" s="32">
        <f t="shared" si="23"/>
        <v>29.481850928234969</v>
      </c>
      <c r="BM24" s="32">
        <f t="shared" si="24"/>
        <v>60.62621224715987</v>
      </c>
      <c r="BN24" s="32">
        <f t="shared" si="25"/>
        <v>53.86533665835411</v>
      </c>
      <c r="BO24" s="32">
        <f t="shared" si="26"/>
        <v>6.7608755888057601</v>
      </c>
      <c r="BP24" s="20">
        <v>24</v>
      </c>
      <c r="BQ24" s="20">
        <v>18</v>
      </c>
      <c r="BR24" s="35">
        <v>266</v>
      </c>
      <c r="BS24" s="35">
        <v>248</v>
      </c>
      <c r="BT24" s="20">
        <v>119</v>
      </c>
      <c r="BU24" s="20">
        <v>82</v>
      </c>
      <c r="BV24" s="20">
        <v>138</v>
      </c>
      <c r="BW24" s="20">
        <v>138</v>
      </c>
      <c r="BX24" s="20">
        <v>249</v>
      </c>
      <c r="BY24" s="20">
        <v>230</v>
      </c>
      <c r="BZ24" s="33">
        <f t="shared" si="27"/>
        <v>0.51983298538622125</v>
      </c>
      <c r="CA24" s="23">
        <v>3.58</v>
      </c>
      <c r="CB24" s="39">
        <f t="shared" si="28"/>
        <v>-1.6743699201762769</v>
      </c>
      <c r="CC24" s="38">
        <f t="shared" si="29"/>
        <v>2.089329830530462</v>
      </c>
      <c r="CD24" s="38">
        <f t="shared" si="30"/>
        <v>2.1740323912276431</v>
      </c>
      <c r="CE24" s="32">
        <f t="shared" si="31"/>
        <v>30.125877421297339</v>
      </c>
      <c r="CF24" s="32">
        <f t="shared" si="32"/>
        <v>28.968275758435869</v>
      </c>
      <c r="CG24" s="32">
        <f t="shared" si="33"/>
        <v>56.044860994634696</v>
      </c>
      <c r="CH24" s="32">
        <f t="shared" si="34"/>
        <v>54.266107219993899</v>
      </c>
      <c r="CI24" s="32">
        <f t="shared" si="35"/>
        <v>4.9821218141649624</v>
      </c>
      <c r="CJ24">
        <v>2125.083333</v>
      </c>
      <c r="CK24">
        <v>74</v>
      </c>
      <c r="CL24">
        <v>77</v>
      </c>
      <c r="CM24" s="35">
        <v>993</v>
      </c>
      <c r="CN24">
        <v>949</v>
      </c>
      <c r="CO24">
        <v>379</v>
      </c>
      <c r="CP24">
        <v>364</v>
      </c>
      <c r="CQ24">
        <v>539</v>
      </c>
      <c r="CR24">
        <v>532</v>
      </c>
      <c r="CS24" s="20">
        <v>1</v>
      </c>
      <c r="CT24" s="20">
        <v>7</v>
      </c>
      <c r="CU24" s="35">
        <f t="shared" si="36"/>
        <v>6</v>
      </c>
      <c r="CV24" s="38">
        <f t="shared" si="37"/>
        <v>0.10684077756343673</v>
      </c>
      <c r="CW24" s="38">
        <f t="shared" si="38"/>
        <v>0.74788544294405712</v>
      </c>
      <c r="CX24" s="38">
        <f t="shared" si="39"/>
        <v>0.64104466538062033</v>
      </c>
      <c r="CY24" s="40">
        <v>21.77</v>
      </c>
      <c r="CZ24" s="40">
        <v>19.739999999999998</v>
      </c>
      <c r="DA24" s="40">
        <v>13.36</v>
      </c>
      <c r="DB24" s="40">
        <v>27.01</v>
      </c>
      <c r="DC24" s="40">
        <v>23.26</v>
      </c>
      <c r="DD24" s="40">
        <v>21.54</v>
      </c>
      <c r="DE24">
        <v>2</v>
      </c>
      <c r="DF24">
        <v>4</v>
      </c>
      <c r="DG24" s="33">
        <f t="shared" si="40"/>
        <v>0.33333333333333331</v>
      </c>
      <c r="DH24">
        <v>-0.02</v>
      </c>
      <c r="DI24">
        <v>0.27</v>
      </c>
      <c r="DJ24">
        <v>4</v>
      </c>
      <c r="DK24">
        <v>1</v>
      </c>
      <c r="DL24">
        <v>1</v>
      </c>
      <c r="DM24" s="1" t="s">
        <v>230</v>
      </c>
      <c r="DN24" t="s">
        <v>231</v>
      </c>
    </row>
    <row r="25" spans="1:118" ht="26.25" x14ac:dyDescent="0.25">
      <c r="A25" t="s">
        <v>232</v>
      </c>
      <c r="B25" t="s">
        <v>233</v>
      </c>
      <c r="C25" s="1" t="s">
        <v>205</v>
      </c>
      <c r="D25" s="2" t="s">
        <v>3</v>
      </c>
      <c r="E25">
        <v>41</v>
      </c>
      <c r="F25">
        <f>(17/41)</f>
        <v>0.41463414634146339</v>
      </c>
      <c r="G25" t="s">
        <v>544</v>
      </c>
      <c r="H25">
        <f>(30/76)</f>
        <v>0.39473684210526316</v>
      </c>
      <c r="I25">
        <v>7</v>
      </c>
      <c r="J25">
        <v>10</v>
      </c>
      <c r="K25" s="29">
        <f t="shared" si="0"/>
        <v>17</v>
      </c>
      <c r="L25" s="30">
        <f t="shared" si="1"/>
        <v>1.8434845472618833</v>
      </c>
      <c r="M25" s="20">
        <v>6</v>
      </c>
      <c r="N25" s="20">
        <v>7</v>
      </c>
      <c r="O25" s="20">
        <v>3</v>
      </c>
      <c r="P25" s="20">
        <v>54</v>
      </c>
      <c r="Q25" s="20">
        <v>31</v>
      </c>
      <c r="R25" s="20">
        <v>18</v>
      </c>
      <c r="S25" s="20">
        <v>51</v>
      </c>
      <c r="T25" s="31">
        <f t="shared" si="2"/>
        <v>0.12962962962962962</v>
      </c>
      <c r="U25" s="31">
        <f t="shared" si="3"/>
        <v>6.7961165048543687E-2</v>
      </c>
      <c r="V25">
        <v>33198</v>
      </c>
      <c r="W25" s="32">
        <f t="shared" si="4"/>
        <v>13.495121951219513</v>
      </c>
      <c r="X25" s="23">
        <v>541.67999999999995</v>
      </c>
      <c r="Y25" s="32">
        <f t="shared" si="5"/>
        <v>13.21170731707317</v>
      </c>
      <c r="Z25" s="23">
        <v>1470.76</v>
      </c>
      <c r="AA25" s="32">
        <f t="shared" si="6"/>
        <v>35.872195121951222</v>
      </c>
      <c r="AB25" s="33">
        <f t="shared" si="7"/>
        <v>0.26916578879370312</v>
      </c>
      <c r="AC25" s="34">
        <f t="shared" si="8"/>
        <v>77</v>
      </c>
      <c r="AD25" s="20">
        <v>20</v>
      </c>
      <c r="AE25" s="20">
        <v>107</v>
      </c>
      <c r="AF25" s="20">
        <v>32</v>
      </c>
      <c r="AG25" s="20">
        <v>5</v>
      </c>
      <c r="AH25" s="20">
        <v>16</v>
      </c>
      <c r="AI25" s="31">
        <f t="shared" si="9"/>
        <v>0.25</v>
      </c>
      <c r="AJ25" s="31">
        <f t="shared" si="10"/>
        <v>0.41666666666666669</v>
      </c>
      <c r="AK25" s="31">
        <f t="shared" si="11"/>
        <v>0.66666666666666674</v>
      </c>
      <c r="AL25" s="20">
        <v>157</v>
      </c>
      <c r="AM25" s="33">
        <f t="shared" si="12"/>
        <v>0.33122362869198313</v>
      </c>
      <c r="AN25" s="20">
        <v>150</v>
      </c>
      <c r="AO25" s="33">
        <f t="shared" si="13"/>
        <v>0.31645569620253167</v>
      </c>
      <c r="AP25" s="20">
        <v>167</v>
      </c>
      <c r="AQ25" s="33">
        <f t="shared" si="14"/>
        <v>0.35232067510548526</v>
      </c>
      <c r="AR25" s="33">
        <f t="shared" si="15"/>
        <v>0.51140065146579805</v>
      </c>
      <c r="AS25" s="1">
        <v>8</v>
      </c>
      <c r="AT25" s="23">
        <v>3.89</v>
      </c>
      <c r="AU25" s="20">
        <v>17.489999999999998</v>
      </c>
      <c r="AV25" s="35">
        <v>5</v>
      </c>
      <c r="AW25" s="36">
        <v>0.42399999999999999</v>
      </c>
      <c r="AX25" s="1">
        <v>6</v>
      </c>
      <c r="AY25" s="36">
        <v>9.6000000000000002E-2</v>
      </c>
      <c r="AZ25" s="20">
        <v>49.97</v>
      </c>
      <c r="BA25" s="20">
        <v>18.059999999999999</v>
      </c>
      <c r="BB25" s="36">
        <v>0.63700000000000001</v>
      </c>
      <c r="BC25" s="36">
        <v>3.3260000000000001</v>
      </c>
      <c r="BD25" s="20">
        <v>51.99</v>
      </c>
      <c r="BE25" s="33">
        <f t="shared" si="16"/>
        <v>9.0909090909090912E-2</v>
      </c>
      <c r="BF25" s="37">
        <f t="shared" si="17"/>
        <v>0.92976588628762546</v>
      </c>
      <c r="BG25" s="35">
        <f t="shared" si="18"/>
        <v>1020.6749771967163</v>
      </c>
      <c r="BH25" s="33">
        <f t="shared" si="19"/>
        <v>2.0674977196716376E-2</v>
      </c>
      <c r="BI25" s="38">
        <f t="shared" si="20"/>
        <v>2.658396101019052</v>
      </c>
      <c r="BJ25" s="38">
        <f t="shared" si="21"/>
        <v>2.3260965883916707</v>
      </c>
      <c r="BK25" s="32">
        <f t="shared" si="22"/>
        <v>29.242357111209575</v>
      </c>
      <c r="BL25" s="32">
        <f t="shared" si="23"/>
        <v>33.119184758529023</v>
      </c>
      <c r="BM25" s="32">
        <f t="shared" si="24"/>
        <v>53.500221533008421</v>
      </c>
      <c r="BN25" s="32">
        <f t="shared" si="25"/>
        <v>58.373947718210019</v>
      </c>
      <c r="BO25" s="32">
        <f t="shared" si="26"/>
        <v>-4.8737261852015976</v>
      </c>
      <c r="BP25" s="20">
        <v>24</v>
      </c>
      <c r="BQ25" s="20">
        <v>21</v>
      </c>
      <c r="BR25" s="35">
        <v>240</v>
      </c>
      <c r="BS25" s="35">
        <v>278</v>
      </c>
      <c r="BT25" s="20">
        <v>109</v>
      </c>
      <c r="BU25" s="20">
        <v>114</v>
      </c>
      <c r="BV25" s="20">
        <v>110</v>
      </c>
      <c r="BW25" s="20">
        <v>114</v>
      </c>
      <c r="BX25" s="20">
        <v>237</v>
      </c>
      <c r="BY25" s="20">
        <v>287</v>
      </c>
      <c r="BZ25" s="33">
        <f t="shared" si="27"/>
        <v>0.45229007633587787</v>
      </c>
      <c r="CA25" s="23">
        <v>-4.8099999999999996</v>
      </c>
      <c r="CB25" s="39">
        <f t="shared" si="28"/>
        <v>-8.4673418203807511</v>
      </c>
      <c r="CC25" s="38">
        <f t="shared" si="29"/>
        <v>2.2391773092985274</v>
      </c>
      <c r="CD25" s="38">
        <f t="shared" si="30"/>
        <v>2.3287444016704688</v>
      </c>
      <c r="CE25" s="32">
        <f t="shared" si="31"/>
        <v>28.751036651393093</v>
      </c>
      <c r="CF25" s="32">
        <f t="shared" si="32"/>
        <v>29.646707575112504</v>
      </c>
      <c r="CG25" s="32">
        <f t="shared" si="33"/>
        <v>53.770111120621976</v>
      </c>
      <c r="CH25" s="32">
        <f t="shared" si="34"/>
        <v>54.844916229085271</v>
      </c>
      <c r="CI25" s="32">
        <f t="shared" si="35"/>
        <v>-3.7989210767383028</v>
      </c>
      <c r="CJ25">
        <v>2009.666667</v>
      </c>
      <c r="CK25">
        <v>75</v>
      </c>
      <c r="CL25">
        <v>78</v>
      </c>
      <c r="CM25" s="35">
        <v>888</v>
      </c>
      <c r="CN25">
        <v>915</v>
      </c>
      <c r="CO25">
        <v>391</v>
      </c>
      <c r="CP25">
        <v>426</v>
      </c>
      <c r="CQ25">
        <v>447</v>
      </c>
      <c r="CR25">
        <v>418</v>
      </c>
      <c r="CS25" s="20">
        <v>6</v>
      </c>
      <c r="CT25" s="20">
        <v>3</v>
      </c>
      <c r="CU25" s="35">
        <f t="shared" si="36"/>
        <v>-3</v>
      </c>
      <c r="CV25" s="38">
        <f t="shared" si="37"/>
        <v>0.65064160491595879</v>
      </c>
      <c r="CW25" s="38">
        <f t="shared" si="38"/>
        <v>0.3253208024579794</v>
      </c>
      <c r="CX25" s="38">
        <f t="shared" si="39"/>
        <v>-0.3253208024579794</v>
      </c>
      <c r="CY25" s="40">
        <v>22.5</v>
      </c>
      <c r="CZ25" s="40">
        <v>22.55</v>
      </c>
      <c r="DA25" s="40">
        <v>21.62</v>
      </c>
      <c r="DB25" s="40">
        <v>34.69</v>
      </c>
      <c r="DC25" s="40">
        <v>20.53</v>
      </c>
      <c r="DD25" s="40">
        <v>21.29</v>
      </c>
      <c r="DE25">
        <v>7</v>
      </c>
      <c r="DF25">
        <v>9</v>
      </c>
      <c r="DG25" s="33">
        <f t="shared" si="40"/>
        <v>0.4375</v>
      </c>
      <c r="DH25">
        <v>-0.06</v>
      </c>
      <c r="DI25">
        <v>2.06</v>
      </c>
      <c r="DJ25">
        <v>10</v>
      </c>
      <c r="DK25">
        <v>4</v>
      </c>
      <c r="DL25">
        <v>2</v>
      </c>
      <c r="DM25" s="2" t="s">
        <v>234</v>
      </c>
      <c r="DN25" t="s">
        <v>235</v>
      </c>
    </row>
    <row r="26" spans="1:118" ht="13.5" customHeight="1" x14ac:dyDescent="0.25">
      <c r="A26" t="s">
        <v>236</v>
      </c>
      <c r="B26" t="s">
        <v>237</v>
      </c>
      <c r="C26" s="1" t="s">
        <v>238</v>
      </c>
      <c r="D26" s="2" t="s">
        <v>239</v>
      </c>
      <c r="E26">
        <v>62</v>
      </c>
      <c r="F26">
        <f>(17/62)</f>
        <v>0.27419354838709675</v>
      </c>
      <c r="G26" t="s">
        <v>544</v>
      </c>
      <c r="H26">
        <f>(65/72)</f>
        <v>0.90277777777777779</v>
      </c>
      <c r="I26">
        <v>6</v>
      </c>
      <c r="J26">
        <v>11</v>
      </c>
      <c r="K26" s="29">
        <f t="shared" si="0"/>
        <v>17</v>
      </c>
      <c r="L26" s="30">
        <f t="shared" si="1"/>
        <v>1.4983107281006707</v>
      </c>
      <c r="M26" s="20">
        <v>6</v>
      </c>
      <c r="N26" s="20">
        <v>6</v>
      </c>
      <c r="O26" s="20">
        <v>5</v>
      </c>
      <c r="P26" s="20">
        <v>78</v>
      </c>
      <c r="Q26" s="20">
        <v>26</v>
      </c>
      <c r="R26" s="20">
        <v>39</v>
      </c>
      <c r="S26" s="20">
        <v>91</v>
      </c>
      <c r="T26" s="31">
        <f t="shared" si="2"/>
        <v>7.6923076923076927E-2</v>
      </c>
      <c r="U26" s="31">
        <f t="shared" si="3"/>
        <v>4.195804195804196E-2</v>
      </c>
      <c r="V26">
        <v>40846</v>
      </c>
      <c r="W26" s="32">
        <f t="shared" si="4"/>
        <v>10.980107526881719</v>
      </c>
      <c r="X26" s="23">
        <v>676.17</v>
      </c>
      <c r="Y26" s="32">
        <f t="shared" si="5"/>
        <v>10.905967741935482</v>
      </c>
      <c r="Z26" s="23">
        <v>2344.23</v>
      </c>
      <c r="AA26" s="32">
        <f t="shared" si="6"/>
        <v>37.810161290322583</v>
      </c>
      <c r="AB26" s="33">
        <f t="shared" si="7"/>
        <v>0.22386769964243142</v>
      </c>
      <c r="AC26" s="34">
        <f t="shared" si="8"/>
        <v>70.137931034482762</v>
      </c>
      <c r="AD26" s="20">
        <v>14</v>
      </c>
      <c r="AE26" s="20">
        <v>23</v>
      </c>
      <c r="AF26" s="20">
        <v>58</v>
      </c>
      <c r="AG26" s="20">
        <v>24</v>
      </c>
      <c r="AH26" s="20">
        <v>18</v>
      </c>
      <c r="AI26" s="31">
        <f t="shared" si="9"/>
        <v>0.20689655172413793</v>
      </c>
      <c r="AJ26" s="31">
        <f t="shared" si="10"/>
        <v>0.37931034482758619</v>
      </c>
      <c r="AK26" s="31">
        <f t="shared" si="11"/>
        <v>0.58620689655172409</v>
      </c>
      <c r="AL26" s="20">
        <v>171</v>
      </c>
      <c r="AM26" s="33">
        <f t="shared" si="12"/>
        <v>0.31318681318681318</v>
      </c>
      <c r="AN26" s="20">
        <v>177</v>
      </c>
      <c r="AO26" s="33">
        <f t="shared" si="13"/>
        <v>0.32417582417582419</v>
      </c>
      <c r="AP26" s="20">
        <v>198</v>
      </c>
      <c r="AQ26" s="33">
        <f t="shared" si="14"/>
        <v>0.36263736263736263</v>
      </c>
      <c r="AR26" s="33">
        <f t="shared" si="15"/>
        <v>0.49137931034482757</v>
      </c>
      <c r="AS26" s="1">
        <v>7</v>
      </c>
      <c r="AT26" s="23">
        <v>-0.01</v>
      </c>
      <c r="AU26" s="20">
        <v>16.86</v>
      </c>
      <c r="AV26" s="35">
        <v>11</v>
      </c>
      <c r="AW26" s="36">
        <v>-0.47600000000000003</v>
      </c>
      <c r="AX26" s="1">
        <v>11</v>
      </c>
      <c r="AY26" s="36">
        <v>-0.34100000000000003</v>
      </c>
      <c r="AZ26" s="20">
        <v>49.76</v>
      </c>
      <c r="BA26" s="20">
        <v>17.27</v>
      </c>
      <c r="BB26" s="36">
        <v>1.3480000000000001</v>
      </c>
      <c r="BC26" s="36">
        <v>-3.5220000000000002</v>
      </c>
      <c r="BD26" s="20">
        <v>48.79</v>
      </c>
      <c r="BE26" s="33">
        <f t="shared" si="16"/>
        <v>8.5545722713864306E-2</v>
      </c>
      <c r="BF26" s="37">
        <f t="shared" si="17"/>
        <v>0.93768545994065278</v>
      </c>
      <c r="BG26" s="35">
        <f t="shared" si="18"/>
        <v>1023.2311826545171</v>
      </c>
      <c r="BH26" s="33">
        <f t="shared" si="19"/>
        <v>2.3231182654517082E-2</v>
      </c>
      <c r="BI26" s="38">
        <f t="shared" si="20"/>
        <v>2.5733173610186788</v>
      </c>
      <c r="BJ26" s="38">
        <f t="shared" si="21"/>
        <v>1.8634367097031812</v>
      </c>
      <c r="BK26" s="32">
        <f t="shared" si="22"/>
        <v>30.081192599494212</v>
      </c>
      <c r="BL26" s="32">
        <f t="shared" si="23"/>
        <v>29.903722436665337</v>
      </c>
      <c r="BM26" s="32">
        <f t="shared" si="24"/>
        <v>55.903101291095439</v>
      </c>
      <c r="BN26" s="32">
        <f t="shared" si="25"/>
        <v>56.524246860996499</v>
      </c>
      <c r="BO26" s="32">
        <f t="shared" si="26"/>
        <v>-0.62114556990105996</v>
      </c>
      <c r="BP26" s="20">
        <v>29</v>
      </c>
      <c r="BQ26" s="20">
        <v>21</v>
      </c>
      <c r="BR26" s="35">
        <v>310</v>
      </c>
      <c r="BS26" s="35">
        <v>316</v>
      </c>
      <c r="BT26" s="20">
        <v>119</v>
      </c>
      <c r="BU26" s="20">
        <v>127</v>
      </c>
      <c r="BV26" s="20">
        <v>172</v>
      </c>
      <c r="BW26" s="20">
        <v>173</v>
      </c>
      <c r="BX26" s="20">
        <v>311</v>
      </c>
      <c r="BY26" s="20">
        <v>293</v>
      </c>
      <c r="BZ26" s="33">
        <f t="shared" si="27"/>
        <v>0.51490066225165565</v>
      </c>
      <c r="CA26" s="23">
        <v>5.17</v>
      </c>
      <c r="CB26" s="39">
        <f t="shared" si="28"/>
        <v>2.6767509818230799</v>
      </c>
      <c r="CC26" s="38">
        <f t="shared" si="29"/>
        <v>2.2640635082762928</v>
      </c>
      <c r="CD26" s="38">
        <f t="shared" si="30"/>
        <v>2.3832247455539926</v>
      </c>
      <c r="CE26" s="32">
        <f t="shared" si="31"/>
        <v>27.625546842213364</v>
      </c>
      <c r="CF26" s="32">
        <f t="shared" si="32"/>
        <v>30.763459423859452</v>
      </c>
      <c r="CG26" s="32">
        <f t="shared" si="33"/>
        <v>52.987030176150434</v>
      </c>
      <c r="CH26" s="32">
        <f t="shared" si="34"/>
        <v>57.475436780277121</v>
      </c>
      <c r="CI26" s="32">
        <f t="shared" si="35"/>
        <v>3.8672610342256277</v>
      </c>
      <c r="CJ26">
        <v>3021.1166669999998</v>
      </c>
      <c r="CK26">
        <v>114</v>
      </c>
      <c r="CL26">
        <v>120</v>
      </c>
      <c r="CM26" s="35">
        <v>1277</v>
      </c>
      <c r="CN26">
        <v>1429</v>
      </c>
      <c r="CO26">
        <v>547</v>
      </c>
      <c r="CP26">
        <v>590</v>
      </c>
      <c r="CQ26">
        <v>730</v>
      </c>
      <c r="CR26">
        <v>755</v>
      </c>
      <c r="CS26" s="20">
        <v>5</v>
      </c>
      <c r="CT26" s="20">
        <v>13</v>
      </c>
      <c r="CU26" s="35">
        <f t="shared" si="36"/>
        <v>8</v>
      </c>
      <c r="CV26" s="38">
        <f t="shared" si="37"/>
        <v>0.44067962591196208</v>
      </c>
      <c r="CW26" s="38">
        <f t="shared" si="38"/>
        <v>1.1457670273711014</v>
      </c>
      <c r="CX26" s="38">
        <f t="shared" si="39"/>
        <v>0.7050874014591394</v>
      </c>
      <c r="CY26" s="40">
        <v>25.15</v>
      </c>
      <c r="CZ26" s="40">
        <v>26.53</v>
      </c>
      <c r="DA26" s="40">
        <v>34.159999999999997</v>
      </c>
      <c r="DB26" s="40">
        <v>24.1</v>
      </c>
      <c r="DC26" s="40">
        <v>23.88</v>
      </c>
      <c r="DD26" s="40">
        <v>26.83</v>
      </c>
      <c r="DE26">
        <v>2</v>
      </c>
      <c r="DF26">
        <v>1</v>
      </c>
      <c r="DG26" s="33">
        <f t="shared" si="40"/>
        <v>0.66666666666666663</v>
      </c>
      <c r="DH26">
        <v>0</v>
      </c>
      <c r="DI26">
        <v>1</v>
      </c>
      <c r="DJ26">
        <v>1</v>
      </c>
      <c r="DK26">
        <v>0</v>
      </c>
      <c r="DL26">
        <v>1</v>
      </c>
      <c r="DM26" s="1" t="s">
        <v>240</v>
      </c>
      <c r="DN26" t="s">
        <v>241</v>
      </c>
    </row>
    <row r="27" spans="1:118" ht="26.25" x14ac:dyDescent="0.25">
      <c r="A27" t="s">
        <v>242</v>
      </c>
      <c r="B27" t="s">
        <v>243</v>
      </c>
      <c r="C27" s="1" t="s">
        <v>244</v>
      </c>
      <c r="D27" s="2" t="s">
        <v>245</v>
      </c>
      <c r="E27">
        <v>41</v>
      </c>
      <c r="F27">
        <f>(17/41)</f>
        <v>0.41463414634146339</v>
      </c>
      <c r="G27" t="s">
        <v>539</v>
      </c>
      <c r="H27">
        <f>(112/68)</f>
        <v>1.6470588235294117</v>
      </c>
      <c r="I27">
        <v>1</v>
      </c>
      <c r="J27">
        <v>10</v>
      </c>
      <c r="K27" s="29">
        <f t="shared" si="0"/>
        <v>11</v>
      </c>
      <c r="L27" s="30">
        <f t="shared" si="1"/>
        <v>1.193633952254642</v>
      </c>
      <c r="M27" s="20">
        <v>1</v>
      </c>
      <c r="N27" s="20">
        <v>7</v>
      </c>
      <c r="O27" s="20">
        <v>2</v>
      </c>
      <c r="P27" s="20">
        <v>32</v>
      </c>
      <c r="Q27" s="20">
        <v>19</v>
      </c>
      <c r="R27" s="20">
        <v>13</v>
      </c>
      <c r="S27" s="20">
        <v>39</v>
      </c>
      <c r="T27" s="31">
        <f t="shared" si="2"/>
        <v>3.125E-2</v>
      </c>
      <c r="U27" s="31">
        <f t="shared" si="3"/>
        <v>1.5625E-2</v>
      </c>
      <c r="V27">
        <v>33176</v>
      </c>
      <c r="W27" s="32">
        <f t="shared" si="4"/>
        <v>13.486178861788618</v>
      </c>
      <c r="X27" s="23">
        <v>522.67999999999995</v>
      </c>
      <c r="Y27" s="32">
        <f t="shared" si="5"/>
        <v>12.748292682926827</v>
      </c>
      <c r="Z27" s="23">
        <v>1429.02</v>
      </c>
      <c r="AA27" s="32">
        <f t="shared" si="6"/>
        <v>34.854146341463412</v>
      </c>
      <c r="AB27" s="33">
        <f t="shared" si="7"/>
        <v>0.26780755239022391</v>
      </c>
      <c r="AC27" s="34">
        <f t="shared" si="8"/>
        <v>94.73333333333332</v>
      </c>
      <c r="AD27" s="20">
        <v>13</v>
      </c>
      <c r="AE27" s="20">
        <v>38</v>
      </c>
      <c r="AF27" s="20">
        <v>47</v>
      </c>
      <c r="AG27" s="20">
        <v>5</v>
      </c>
      <c r="AH27" s="20">
        <v>17</v>
      </c>
      <c r="AI27" s="31">
        <f t="shared" si="9"/>
        <v>6.6666666666666666E-2</v>
      </c>
      <c r="AJ27" s="31">
        <f t="shared" si="10"/>
        <v>0.6</v>
      </c>
      <c r="AK27" s="31">
        <f t="shared" si="11"/>
        <v>0.66666666666666663</v>
      </c>
      <c r="AL27" s="20">
        <v>110</v>
      </c>
      <c r="AM27" s="33">
        <f t="shared" si="12"/>
        <v>0.28497409326424872</v>
      </c>
      <c r="AN27" s="20">
        <v>131</v>
      </c>
      <c r="AO27" s="33">
        <f t="shared" si="13"/>
        <v>0.3393782383419689</v>
      </c>
      <c r="AP27" s="20">
        <v>145</v>
      </c>
      <c r="AQ27" s="33">
        <f t="shared" si="14"/>
        <v>0.37564766839378239</v>
      </c>
      <c r="AR27" s="33">
        <f t="shared" si="15"/>
        <v>0.45643153526970953</v>
      </c>
      <c r="AS27" s="1">
        <v>13</v>
      </c>
      <c r="AT27" s="23">
        <v>1.9500000000000002</v>
      </c>
      <c r="AU27" s="20">
        <v>17.45</v>
      </c>
      <c r="AV27" s="35">
        <v>7</v>
      </c>
      <c r="AW27" s="36">
        <v>0.442</v>
      </c>
      <c r="AX27" s="1">
        <v>6</v>
      </c>
      <c r="AY27" s="36">
        <v>0.58199999999999996</v>
      </c>
      <c r="AZ27" s="20">
        <v>50.33</v>
      </c>
      <c r="BA27" s="20">
        <v>17.97</v>
      </c>
      <c r="BB27" s="36">
        <v>-0.28200000000000003</v>
      </c>
      <c r="BC27" s="36">
        <v>-7.3390000000000004</v>
      </c>
      <c r="BD27" s="20">
        <v>46.42</v>
      </c>
      <c r="BE27" s="33">
        <f t="shared" si="16"/>
        <v>7.3891625615763554E-2</v>
      </c>
      <c r="BF27" s="37">
        <f t="shared" si="17"/>
        <v>0.89958158995815896</v>
      </c>
      <c r="BG27" s="35">
        <f t="shared" si="18"/>
        <v>973.47321557392252</v>
      </c>
      <c r="BH27" s="33">
        <f t="shared" si="19"/>
        <v>-2.652678442607749E-2</v>
      </c>
      <c r="BI27" s="38">
        <f t="shared" si="20"/>
        <v>1.7218948496211834</v>
      </c>
      <c r="BJ27" s="38">
        <f t="shared" si="21"/>
        <v>2.7550317593938933</v>
      </c>
      <c r="BK27" s="32">
        <f t="shared" si="22"/>
        <v>23.302976964873348</v>
      </c>
      <c r="BL27" s="32">
        <f t="shared" si="23"/>
        <v>27.43552460396419</v>
      </c>
      <c r="BM27" s="32">
        <f t="shared" si="24"/>
        <v>43.850922170352803</v>
      </c>
      <c r="BN27" s="32">
        <f t="shared" si="25"/>
        <v>52.345603428483969</v>
      </c>
      <c r="BO27" s="32">
        <f t="shared" si="26"/>
        <v>-8.4946812581311661</v>
      </c>
      <c r="BP27" s="20">
        <v>15</v>
      </c>
      <c r="BQ27" s="20">
        <v>24</v>
      </c>
      <c r="BR27" s="35">
        <v>188</v>
      </c>
      <c r="BS27" s="35">
        <v>215</v>
      </c>
      <c r="BT27" s="20">
        <v>96</v>
      </c>
      <c r="BU27" s="20">
        <v>97</v>
      </c>
      <c r="BV27" s="20">
        <v>83</v>
      </c>
      <c r="BW27" s="20">
        <v>120</v>
      </c>
      <c r="BX27" s="20">
        <v>180</v>
      </c>
      <c r="BY27" s="20">
        <v>217</v>
      </c>
      <c r="BZ27" s="33">
        <f t="shared" si="27"/>
        <v>0.45340050377833752</v>
      </c>
      <c r="CA27" s="23">
        <v>-0.60000000000000009</v>
      </c>
      <c r="CB27" s="39">
        <f t="shared" si="28"/>
        <v>0.38196189539580772</v>
      </c>
      <c r="CC27" s="38">
        <f t="shared" si="29"/>
        <v>1.6612828795569912</v>
      </c>
      <c r="CD27" s="38">
        <f t="shared" si="30"/>
        <v>2.2458083371788953</v>
      </c>
      <c r="CE27" s="32">
        <f t="shared" si="31"/>
        <v>23.196431318258728</v>
      </c>
      <c r="CF27" s="32">
        <f t="shared" si="32"/>
        <v>28.149515459160128</v>
      </c>
      <c r="CG27" s="32">
        <f t="shared" si="33"/>
        <v>42.854945393016465</v>
      </c>
      <c r="CH27" s="32">
        <f t="shared" si="34"/>
        <v>51.284417781879711</v>
      </c>
      <c r="CI27" s="32">
        <f t="shared" si="35"/>
        <v>-6.5208869267920022E-2</v>
      </c>
      <c r="CJ27">
        <v>1950.3</v>
      </c>
      <c r="CK27">
        <v>54</v>
      </c>
      <c r="CL27">
        <v>73</v>
      </c>
      <c r="CM27" s="35">
        <v>700</v>
      </c>
      <c r="CN27">
        <v>842</v>
      </c>
      <c r="CO27">
        <v>309</v>
      </c>
      <c r="CP27">
        <v>327</v>
      </c>
      <c r="CQ27">
        <v>330</v>
      </c>
      <c r="CR27">
        <v>425</v>
      </c>
      <c r="CS27" s="20">
        <v>7</v>
      </c>
      <c r="CT27" s="20">
        <v>9</v>
      </c>
      <c r="CU27" s="35">
        <f t="shared" si="36"/>
        <v>2</v>
      </c>
      <c r="CV27" s="38">
        <f t="shared" si="37"/>
        <v>0.75958524234386293</v>
      </c>
      <c r="CW27" s="38">
        <f t="shared" si="38"/>
        <v>0.97660959729925234</v>
      </c>
      <c r="CX27" s="38">
        <f t="shared" si="39"/>
        <v>0.21702435495538941</v>
      </c>
      <c r="CY27" s="40">
        <v>15.65</v>
      </c>
      <c r="CZ27" s="40">
        <v>18.88</v>
      </c>
      <c r="DA27" s="40">
        <v>9.56</v>
      </c>
      <c r="DB27" s="40">
        <v>25.52</v>
      </c>
      <c r="DC27" s="40">
        <v>19.91</v>
      </c>
      <c r="DD27" s="40">
        <v>37.74</v>
      </c>
      <c r="DE27">
        <v>10</v>
      </c>
      <c r="DF27">
        <v>21</v>
      </c>
      <c r="DG27" s="33">
        <f t="shared" si="40"/>
        <v>0.32258064516129031</v>
      </c>
      <c r="DH27">
        <v>-0.03</v>
      </c>
      <c r="DI27">
        <v>0.79</v>
      </c>
      <c r="DJ27">
        <v>9</v>
      </c>
      <c r="DK27">
        <v>12</v>
      </c>
      <c r="DL27">
        <v>4</v>
      </c>
      <c r="DM27" s="1" t="s">
        <v>246</v>
      </c>
      <c r="DN27" t="s">
        <v>247</v>
      </c>
    </row>
    <row r="28" spans="1:118" x14ac:dyDescent="0.25">
      <c r="A28" t="s">
        <v>248</v>
      </c>
      <c r="B28" t="s">
        <v>249</v>
      </c>
      <c r="C28" s="1" t="s">
        <v>250</v>
      </c>
      <c r="D28" s="2" t="s">
        <v>152</v>
      </c>
      <c r="E28">
        <v>56</v>
      </c>
      <c r="F28">
        <f>(16/56)</f>
        <v>0.2857142857142857</v>
      </c>
      <c r="G28" t="s">
        <v>544</v>
      </c>
      <c r="H28">
        <f>(55/70)</f>
        <v>0.7857142857142857</v>
      </c>
      <c r="I28">
        <v>7</v>
      </c>
      <c r="J28">
        <v>8</v>
      </c>
      <c r="K28" s="29">
        <f t="shared" si="0"/>
        <v>15</v>
      </c>
      <c r="L28" s="30">
        <f t="shared" si="1"/>
        <v>1.3434841021047916</v>
      </c>
      <c r="M28" s="20">
        <v>6</v>
      </c>
      <c r="N28" s="20">
        <v>4</v>
      </c>
      <c r="O28" s="20">
        <v>3</v>
      </c>
      <c r="P28" s="20">
        <v>125</v>
      </c>
      <c r="Q28" s="20">
        <v>37</v>
      </c>
      <c r="R28" s="20">
        <v>47</v>
      </c>
      <c r="S28" s="20">
        <v>107</v>
      </c>
      <c r="T28" s="31">
        <f t="shared" si="2"/>
        <v>5.6000000000000001E-2</v>
      </c>
      <c r="U28" s="31">
        <f t="shared" si="3"/>
        <v>3.3492822966507178E-2</v>
      </c>
      <c r="V28">
        <v>40194</v>
      </c>
      <c r="W28" s="32">
        <f t="shared" si="4"/>
        <v>11.9625</v>
      </c>
      <c r="X28" s="23">
        <v>667.34</v>
      </c>
      <c r="Y28" s="32">
        <f t="shared" si="5"/>
        <v>11.916785714285714</v>
      </c>
      <c r="Z28" s="23">
        <v>2027.56</v>
      </c>
      <c r="AA28" s="32">
        <f t="shared" si="6"/>
        <v>36.206428571428567</v>
      </c>
      <c r="AB28" s="33">
        <f t="shared" si="7"/>
        <v>0.247630709859364</v>
      </c>
      <c r="AC28" s="34">
        <f t="shared" si="8"/>
        <v>75.15789473684211</v>
      </c>
      <c r="AD28" s="20">
        <v>30</v>
      </c>
      <c r="AE28" s="20">
        <v>27</v>
      </c>
      <c r="AF28" s="20">
        <v>96</v>
      </c>
      <c r="AG28" s="20">
        <v>17</v>
      </c>
      <c r="AH28" s="20">
        <v>15</v>
      </c>
      <c r="AI28" s="31">
        <f t="shared" si="9"/>
        <v>0.31578947368421051</v>
      </c>
      <c r="AJ28" s="31">
        <f t="shared" si="10"/>
        <v>0.36842105263157893</v>
      </c>
      <c r="AK28" s="31">
        <f t="shared" si="11"/>
        <v>0.68421052631578938</v>
      </c>
      <c r="AL28" s="20">
        <v>201</v>
      </c>
      <c r="AM28" s="33">
        <f t="shared" si="12"/>
        <v>0.33278145695364236</v>
      </c>
      <c r="AN28" s="20">
        <v>191</v>
      </c>
      <c r="AO28" s="33">
        <f t="shared" si="13"/>
        <v>0.31622516556291391</v>
      </c>
      <c r="AP28" s="20">
        <v>212</v>
      </c>
      <c r="AQ28" s="33">
        <f t="shared" si="14"/>
        <v>0.35099337748344372</v>
      </c>
      <c r="AR28" s="33">
        <f t="shared" si="15"/>
        <v>0.51275510204081631</v>
      </c>
      <c r="AS28" s="1">
        <v>9</v>
      </c>
      <c r="AT28" s="23">
        <v>-1.81</v>
      </c>
      <c r="AU28" s="20">
        <v>17.239999999999998</v>
      </c>
      <c r="AV28" s="35">
        <v>9</v>
      </c>
      <c r="AW28" s="36">
        <v>0.38500000000000001</v>
      </c>
      <c r="AX28" s="1">
        <v>8</v>
      </c>
      <c r="AY28" s="36">
        <v>0.156</v>
      </c>
      <c r="AZ28" s="20">
        <v>50.2</v>
      </c>
      <c r="BA28" s="20">
        <v>17.87</v>
      </c>
      <c r="BB28" s="36">
        <v>1.1919999999999999</v>
      </c>
      <c r="BC28" s="36">
        <v>6.2190000000000003</v>
      </c>
      <c r="BD28" s="20">
        <v>52.46</v>
      </c>
      <c r="BE28" s="33">
        <f t="shared" si="16"/>
        <v>5.3221288515406161E-2</v>
      </c>
      <c r="BF28" s="37">
        <f t="shared" si="17"/>
        <v>0.90136054421768708</v>
      </c>
      <c r="BG28" s="35">
        <f t="shared" si="18"/>
        <v>954.58183273309328</v>
      </c>
      <c r="BH28" s="33">
        <f t="shared" si="19"/>
        <v>-4.5418167266906763E-2</v>
      </c>
      <c r="BI28" s="38">
        <f t="shared" si="20"/>
        <v>1.708274642610963</v>
      </c>
      <c r="BJ28" s="38">
        <f t="shared" si="21"/>
        <v>2.6073665597746274</v>
      </c>
      <c r="BK28" s="32">
        <f t="shared" si="22"/>
        <v>32.097581442742829</v>
      </c>
      <c r="BL28" s="32">
        <f t="shared" si="23"/>
        <v>26.433302364611741</v>
      </c>
      <c r="BM28" s="32">
        <f t="shared" si="24"/>
        <v>60.239158449965529</v>
      </c>
      <c r="BN28" s="32">
        <f t="shared" si="25"/>
        <v>51.517966853477986</v>
      </c>
      <c r="BO28" s="32">
        <f t="shared" si="26"/>
        <v>8.7211915964875431</v>
      </c>
      <c r="BP28" s="20">
        <v>19</v>
      </c>
      <c r="BQ28" s="20">
        <v>29</v>
      </c>
      <c r="BR28" s="35">
        <v>338</v>
      </c>
      <c r="BS28" s="35">
        <v>265</v>
      </c>
      <c r="BT28" s="20">
        <v>138</v>
      </c>
      <c r="BU28" s="20">
        <v>109</v>
      </c>
      <c r="BV28" s="20">
        <v>175</v>
      </c>
      <c r="BW28" s="20">
        <v>170</v>
      </c>
      <c r="BX28" s="20">
        <v>296</v>
      </c>
      <c r="BY28" s="20">
        <v>247</v>
      </c>
      <c r="BZ28" s="33">
        <f t="shared" si="27"/>
        <v>0.54511970534069987</v>
      </c>
      <c r="CA28" s="23">
        <v>0.77</v>
      </c>
      <c r="CB28" s="39">
        <f t="shared" si="28"/>
        <v>2.2620691475079511</v>
      </c>
      <c r="CC28" s="38">
        <f t="shared" si="29"/>
        <v>2.1767431532144284</v>
      </c>
      <c r="CD28" s="38">
        <f t="shared" si="30"/>
        <v>2.1101081587282722</v>
      </c>
      <c r="CE28" s="32">
        <f t="shared" si="31"/>
        <v>29.896900859455311</v>
      </c>
      <c r="CF28" s="32">
        <f t="shared" si="32"/>
        <v>26.96496110206445</v>
      </c>
      <c r="CG28" s="32">
        <f t="shared" si="33"/>
        <v>56.195512016658199</v>
      </c>
      <c r="CH28" s="32">
        <f t="shared" si="34"/>
        <v>50.90913578742316</v>
      </c>
      <c r="CI28" s="32">
        <f t="shared" si="35"/>
        <v>3.4348153672525044</v>
      </c>
      <c r="CJ28">
        <v>2701.2833329999999</v>
      </c>
      <c r="CK28">
        <v>98</v>
      </c>
      <c r="CL28">
        <v>95</v>
      </c>
      <c r="CM28" s="35">
        <v>1248</v>
      </c>
      <c r="CN28">
        <v>1119</v>
      </c>
      <c r="CO28">
        <v>541</v>
      </c>
      <c r="CP28">
        <v>439</v>
      </c>
      <c r="CQ28">
        <v>643</v>
      </c>
      <c r="CR28">
        <v>639</v>
      </c>
      <c r="CS28" s="20">
        <v>9</v>
      </c>
      <c r="CT28" s="20">
        <v>10</v>
      </c>
      <c r="CU28" s="35">
        <f t="shared" si="36"/>
        <v>1</v>
      </c>
      <c r="CV28" s="38">
        <f t="shared" si="37"/>
        <v>0.80609046126287509</v>
      </c>
      <c r="CW28" s="38">
        <f t="shared" si="38"/>
        <v>0.8956560680698612</v>
      </c>
      <c r="CX28" s="38">
        <f t="shared" si="39"/>
        <v>8.9565606806986123E-2</v>
      </c>
      <c r="CY28" s="40">
        <v>24.65</v>
      </c>
      <c r="CZ28" s="40">
        <v>21.53</v>
      </c>
      <c r="DA28" s="40">
        <v>29.85</v>
      </c>
      <c r="DB28" s="40">
        <v>29.98</v>
      </c>
      <c r="DC28" s="40">
        <v>23.81</v>
      </c>
      <c r="DD28" s="40">
        <v>23.49</v>
      </c>
      <c r="DE28">
        <v>0</v>
      </c>
      <c r="DF28">
        <v>0</v>
      </c>
      <c r="DG28" s="33" t="str">
        <f t="shared" si="40"/>
        <v xml:space="preserve"> </v>
      </c>
      <c r="DH28">
        <v>0</v>
      </c>
      <c r="DI28">
        <v>0</v>
      </c>
      <c r="DJ28">
        <v>0</v>
      </c>
      <c r="DK28">
        <v>0</v>
      </c>
      <c r="DL28">
        <v>0</v>
      </c>
      <c r="DM28" s="1" t="s">
        <v>251</v>
      </c>
      <c r="DN28" t="s">
        <v>252</v>
      </c>
    </row>
    <row r="29" spans="1:118" x14ac:dyDescent="0.25">
      <c r="A29" t="s">
        <v>253</v>
      </c>
      <c r="B29" t="s">
        <v>254</v>
      </c>
      <c r="C29" s="1" t="s">
        <v>205</v>
      </c>
      <c r="D29" s="2" t="s">
        <v>142</v>
      </c>
      <c r="E29">
        <v>69</v>
      </c>
      <c r="F29">
        <f>(16/69)</f>
        <v>0.2318840579710145</v>
      </c>
      <c r="G29" t="s">
        <v>538</v>
      </c>
      <c r="H29">
        <f>(16/31)</f>
        <v>0.5161290322580645</v>
      </c>
      <c r="I29">
        <v>3</v>
      </c>
      <c r="J29">
        <v>8</v>
      </c>
      <c r="K29" s="29">
        <f t="shared" si="0"/>
        <v>11</v>
      </c>
      <c r="L29" s="30">
        <f t="shared" si="1"/>
        <v>0.57325670609012869</v>
      </c>
      <c r="M29" s="20">
        <v>3</v>
      </c>
      <c r="N29" s="20">
        <v>1</v>
      </c>
      <c r="O29" s="20">
        <v>6</v>
      </c>
      <c r="P29" s="20">
        <v>68</v>
      </c>
      <c r="Q29" s="20">
        <v>36</v>
      </c>
      <c r="R29" s="20">
        <v>40</v>
      </c>
      <c r="S29" s="20">
        <v>39</v>
      </c>
      <c r="T29" s="31">
        <f t="shared" si="2"/>
        <v>4.4117647058823532E-2</v>
      </c>
      <c r="U29" s="31">
        <f t="shared" si="3"/>
        <v>2.0833333333333332E-2</v>
      </c>
      <c r="V29">
        <v>69079</v>
      </c>
      <c r="W29" s="32">
        <f t="shared" si="4"/>
        <v>16.68574879227053</v>
      </c>
      <c r="X29" s="23">
        <v>1099.56</v>
      </c>
      <c r="Y29" s="32">
        <f t="shared" si="5"/>
        <v>15.935652173913043</v>
      </c>
      <c r="Z29" s="23">
        <v>2325.8200000000002</v>
      </c>
      <c r="AA29" s="32">
        <f t="shared" si="6"/>
        <v>33.707536231884063</v>
      </c>
      <c r="AB29" s="33">
        <f t="shared" si="7"/>
        <v>0.32100380103813297</v>
      </c>
      <c r="AC29" s="34">
        <f t="shared" si="8"/>
        <v>17.285714285714285</v>
      </c>
      <c r="AD29" s="20">
        <v>66</v>
      </c>
      <c r="AE29" s="20">
        <v>28</v>
      </c>
      <c r="AF29" s="20">
        <v>117</v>
      </c>
      <c r="AG29" s="20">
        <v>19</v>
      </c>
      <c r="AH29" s="20">
        <v>38</v>
      </c>
      <c r="AI29" s="31">
        <f t="shared" si="9"/>
        <v>0.10714285714285714</v>
      </c>
      <c r="AJ29" s="31">
        <f t="shared" si="10"/>
        <v>0.25</v>
      </c>
      <c r="AK29" s="31">
        <f t="shared" si="11"/>
        <v>0.35714285714285715</v>
      </c>
      <c r="AL29" s="20">
        <v>301</v>
      </c>
      <c r="AM29" s="33">
        <f t="shared" si="12"/>
        <v>0.31784582893347413</v>
      </c>
      <c r="AN29" s="20">
        <v>288</v>
      </c>
      <c r="AO29" s="33">
        <f t="shared" si="13"/>
        <v>0.3041182682154171</v>
      </c>
      <c r="AP29" s="20">
        <v>358</v>
      </c>
      <c r="AQ29" s="33">
        <f t="shared" si="14"/>
        <v>0.37803590285110877</v>
      </c>
      <c r="AR29" s="33">
        <f t="shared" si="15"/>
        <v>0.51103565365025472</v>
      </c>
      <c r="AS29" s="1">
        <v>4</v>
      </c>
      <c r="AT29" s="23">
        <v>-0.26</v>
      </c>
      <c r="AU29" s="20">
        <v>17.32</v>
      </c>
      <c r="AV29" s="35">
        <v>4</v>
      </c>
      <c r="AW29" s="36">
        <v>0.26100000000000001</v>
      </c>
      <c r="AX29" s="1">
        <v>4</v>
      </c>
      <c r="AY29" s="36">
        <v>-0.51700000000000002</v>
      </c>
      <c r="AZ29" s="20">
        <v>49.66</v>
      </c>
      <c r="BA29" s="20">
        <v>16.440000000000001</v>
      </c>
      <c r="BB29" s="36">
        <v>-0.16700000000000001</v>
      </c>
      <c r="BC29" s="36">
        <v>2.73</v>
      </c>
      <c r="BD29" s="20">
        <v>51.94</v>
      </c>
      <c r="BE29" s="33">
        <f t="shared" si="16"/>
        <v>5.7851239669421489E-2</v>
      </c>
      <c r="BF29" s="37">
        <f t="shared" si="17"/>
        <v>0.93047034764826175</v>
      </c>
      <c r="BG29" s="35">
        <f t="shared" si="18"/>
        <v>988.32158731768322</v>
      </c>
      <c r="BH29" s="33">
        <f t="shared" si="19"/>
        <v>-1.1678412682316758E-2</v>
      </c>
      <c r="BI29" s="38">
        <f t="shared" si="20"/>
        <v>1.5278838808250574</v>
      </c>
      <c r="BJ29" s="38">
        <f t="shared" si="21"/>
        <v>1.855287569573284</v>
      </c>
      <c r="BK29" s="32">
        <f t="shared" si="22"/>
        <v>26.41056422569028</v>
      </c>
      <c r="BL29" s="32">
        <f t="shared" si="23"/>
        <v>26.683400632980465</v>
      </c>
      <c r="BM29" s="32">
        <f t="shared" si="24"/>
        <v>51.729782822219796</v>
      </c>
      <c r="BN29" s="32">
        <f t="shared" si="25"/>
        <v>50.583869911601006</v>
      </c>
      <c r="BO29" s="32">
        <f t="shared" si="26"/>
        <v>1.1459129106187902</v>
      </c>
      <c r="BP29" s="20">
        <v>28</v>
      </c>
      <c r="BQ29" s="20">
        <v>34</v>
      </c>
      <c r="BR29" s="35">
        <v>456</v>
      </c>
      <c r="BS29" s="35">
        <v>455</v>
      </c>
      <c r="BT29" s="20">
        <v>210</v>
      </c>
      <c r="BU29" s="20">
        <v>238</v>
      </c>
      <c r="BV29" s="20">
        <v>254</v>
      </c>
      <c r="BW29" s="20">
        <v>200</v>
      </c>
      <c r="BX29" s="20">
        <v>457</v>
      </c>
      <c r="BY29" s="20">
        <v>469</v>
      </c>
      <c r="BZ29" s="33">
        <f t="shared" si="27"/>
        <v>0.49352051835853133</v>
      </c>
      <c r="CA29" s="23">
        <v>-0.33</v>
      </c>
      <c r="CB29" s="39">
        <f t="shared" si="28"/>
        <v>-2.4559427769873228</v>
      </c>
      <c r="CC29" s="38">
        <f t="shared" si="29"/>
        <v>1.9813457368452043</v>
      </c>
      <c r="CD29" s="38">
        <f t="shared" si="30"/>
        <v>2.2969583320948828</v>
      </c>
      <c r="CE29" s="32">
        <f t="shared" si="31"/>
        <v>28.56293987009591</v>
      </c>
      <c r="CF29" s="32">
        <f t="shared" si="32"/>
        <v>27.177751257611209</v>
      </c>
      <c r="CG29" s="32">
        <f t="shared" si="33"/>
        <v>54.671115110472094</v>
      </c>
      <c r="CH29" s="32">
        <f t="shared" si="34"/>
        <v>51.63772738946129</v>
      </c>
      <c r="CI29" s="32">
        <f t="shared" si="35"/>
        <v>-1.887474810392014</v>
      </c>
      <c r="CJ29">
        <v>3421.916667</v>
      </c>
      <c r="CK29">
        <v>113</v>
      </c>
      <c r="CL29">
        <v>131</v>
      </c>
      <c r="CM29" s="35">
        <v>1516</v>
      </c>
      <c r="CN29">
        <v>1419</v>
      </c>
      <c r="CO29">
        <v>686</v>
      </c>
      <c r="CP29">
        <v>703</v>
      </c>
      <c r="CQ29">
        <v>803</v>
      </c>
      <c r="CR29">
        <v>692</v>
      </c>
      <c r="CS29" s="20">
        <v>6</v>
      </c>
      <c r="CT29" s="20">
        <v>5</v>
      </c>
      <c r="CU29" s="35">
        <f t="shared" si="36"/>
        <v>-1</v>
      </c>
      <c r="CV29" s="38">
        <f t="shared" si="37"/>
        <v>0.31268547604916108</v>
      </c>
      <c r="CW29" s="38">
        <f t="shared" si="38"/>
        <v>0.26057123004096761</v>
      </c>
      <c r="CX29" s="38">
        <f t="shared" si="39"/>
        <v>-5.2114246008193518E-2</v>
      </c>
      <c r="CY29" s="40">
        <v>38.130000000000003</v>
      </c>
      <c r="CZ29" s="40">
        <v>37.630000000000003</v>
      </c>
      <c r="DA29" s="40">
        <v>47.23</v>
      </c>
      <c r="DB29" s="40">
        <v>53.63</v>
      </c>
      <c r="DC29" s="40">
        <v>46.94</v>
      </c>
      <c r="DD29" s="40">
        <v>41.52</v>
      </c>
      <c r="DE29">
        <v>0</v>
      </c>
      <c r="DF29">
        <v>1</v>
      </c>
      <c r="DG29" s="33">
        <f t="shared" si="40"/>
        <v>0</v>
      </c>
      <c r="DH29">
        <v>-0.01</v>
      </c>
      <c r="DI29">
        <v>-0.24</v>
      </c>
      <c r="DJ29">
        <v>1</v>
      </c>
      <c r="DK29">
        <v>0</v>
      </c>
      <c r="DL29">
        <v>0</v>
      </c>
      <c r="DM29" s="1" t="s">
        <v>255</v>
      </c>
      <c r="DN29" t="s">
        <v>256</v>
      </c>
    </row>
    <row r="30" spans="1:118" x14ac:dyDescent="0.25">
      <c r="A30" t="s">
        <v>257</v>
      </c>
      <c r="B30" t="s">
        <v>258</v>
      </c>
      <c r="C30" s="1" t="s">
        <v>259</v>
      </c>
      <c r="D30" s="2" t="s">
        <v>142</v>
      </c>
      <c r="E30">
        <v>42</v>
      </c>
      <c r="F30">
        <f>(16/42)</f>
        <v>0.38095238095238093</v>
      </c>
      <c r="G30" t="s">
        <v>544</v>
      </c>
      <c r="H30">
        <f>(52/70)</f>
        <v>0.74285714285714288</v>
      </c>
      <c r="I30">
        <v>3</v>
      </c>
      <c r="J30">
        <v>8</v>
      </c>
      <c r="K30" s="29">
        <f t="shared" si="0"/>
        <v>11</v>
      </c>
      <c r="L30" s="30">
        <f t="shared" si="1"/>
        <v>1.0853775524188023</v>
      </c>
      <c r="M30" s="20">
        <v>3</v>
      </c>
      <c r="N30" s="20">
        <v>3</v>
      </c>
      <c r="O30" s="20">
        <v>4</v>
      </c>
      <c r="P30" s="20">
        <v>45</v>
      </c>
      <c r="Q30" s="20">
        <v>23</v>
      </c>
      <c r="R30" s="20">
        <v>37</v>
      </c>
      <c r="S30" s="20">
        <v>18</v>
      </c>
      <c r="T30" s="31">
        <f t="shared" si="2"/>
        <v>6.6666666666666666E-2</v>
      </c>
      <c r="U30" s="31">
        <f t="shared" si="3"/>
        <v>2.8571428571428571E-2</v>
      </c>
      <c r="V30">
        <v>36485</v>
      </c>
      <c r="W30" s="32">
        <f t="shared" si="4"/>
        <v>14.478174603174603</v>
      </c>
      <c r="X30" s="23">
        <v>591.75</v>
      </c>
      <c r="Y30" s="32">
        <f t="shared" si="5"/>
        <v>14.089285714285714</v>
      </c>
      <c r="Z30" s="23">
        <v>1431.44</v>
      </c>
      <c r="AA30" s="32">
        <f t="shared" si="6"/>
        <v>34.081904761904767</v>
      </c>
      <c r="AB30" s="33">
        <f t="shared" si="7"/>
        <v>0.29248365205442883</v>
      </c>
      <c r="AC30" s="34">
        <f t="shared" si="8"/>
        <v>39.25</v>
      </c>
      <c r="AD30" s="20">
        <v>31</v>
      </c>
      <c r="AE30" s="20">
        <v>42</v>
      </c>
      <c r="AF30" s="20">
        <v>49</v>
      </c>
      <c r="AG30" s="20">
        <v>16</v>
      </c>
      <c r="AH30" s="20">
        <v>6</v>
      </c>
      <c r="AI30" s="31">
        <f t="shared" si="9"/>
        <v>0.125</v>
      </c>
      <c r="AJ30" s="31">
        <f t="shared" si="10"/>
        <v>0.29166666666666669</v>
      </c>
      <c r="AK30" s="31">
        <f t="shared" si="11"/>
        <v>0.41666666666666669</v>
      </c>
      <c r="AL30" s="20">
        <v>215</v>
      </c>
      <c r="AM30" s="33">
        <f t="shared" si="12"/>
        <v>0.44329896907216493</v>
      </c>
      <c r="AN30" s="20">
        <v>122</v>
      </c>
      <c r="AO30" s="33">
        <f t="shared" si="13"/>
        <v>0.25154639175257731</v>
      </c>
      <c r="AP30" s="20">
        <v>148</v>
      </c>
      <c r="AQ30" s="33">
        <f t="shared" si="14"/>
        <v>0.30515463917525776</v>
      </c>
      <c r="AR30" s="33">
        <f t="shared" si="15"/>
        <v>0.63798219584569738</v>
      </c>
      <c r="AS30" s="1">
        <v>9</v>
      </c>
      <c r="AT30" s="23">
        <v>15.28</v>
      </c>
      <c r="AU30" s="20">
        <v>16.760000000000002</v>
      </c>
      <c r="AV30" s="35">
        <v>8</v>
      </c>
      <c r="AW30" s="36">
        <v>-0.54600000000000004</v>
      </c>
      <c r="AX30" s="1">
        <v>9</v>
      </c>
      <c r="AY30" s="36">
        <v>-1.482</v>
      </c>
      <c r="AZ30" s="20">
        <v>49.22</v>
      </c>
      <c r="BA30" s="20">
        <v>16.62</v>
      </c>
      <c r="BB30" s="36">
        <v>-2.859</v>
      </c>
      <c r="BC30" s="36">
        <v>-3.4580000000000002</v>
      </c>
      <c r="BD30" s="20">
        <v>49.44</v>
      </c>
      <c r="BE30" s="33">
        <f t="shared" si="16"/>
        <v>7.6433121019108277E-2</v>
      </c>
      <c r="BF30" s="37">
        <f t="shared" si="17"/>
        <v>0.9213483146067416</v>
      </c>
      <c r="BG30" s="35">
        <f t="shared" si="18"/>
        <v>997.78143562584989</v>
      </c>
      <c r="BH30" s="33">
        <f t="shared" si="19"/>
        <v>-2.2185643741501199E-3</v>
      </c>
      <c r="BI30" s="38">
        <f t="shared" si="20"/>
        <v>2.4334600760456273</v>
      </c>
      <c r="BJ30" s="38">
        <f t="shared" si="21"/>
        <v>2.1292775665399239</v>
      </c>
      <c r="BK30" s="32">
        <f t="shared" si="22"/>
        <v>31.837769328263626</v>
      </c>
      <c r="BL30" s="32">
        <f t="shared" si="23"/>
        <v>27.072243346007603</v>
      </c>
      <c r="BM30" s="32">
        <f t="shared" si="24"/>
        <v>55.868187579214194</v>
      </c>
      <c r="BN30" s="32">
        <f t="shared" si="25"/>
        <v>51.102661596958171</v>
      </c>
      <c r="BO30" s="32">
        <f t="shared" si="26"/>
        <v>4.7655259822560225</v>
      </c>
      <c r="BP30" s="20">
        <v>24</v>
      </c>
      <c r="BQ30" s="20">
        <v>21</v>
      </c>
      <c r="BR30" s="35">
        <v>290</v>
      </c>
      <c r="BS30" s="35">
        <v>246</v>
      </c>
      <c r="BT30" s="20">
        <v>119</v>
      </c>
      <c r="BU30" s="20">
        <v>109</v>
      </c>
      <c r="BV30" s="20">
        <v>118</v>
      </c>
      <c r="BW30" s="20">
        <v>128</v>
      </c>
      <c r="BX30" s="20">
        <v>266</v>
      </c>
      <c r="BY30" s="20">
        <v>250</v>
      </c>
      <c r="BZ30" s="33">
        <f t="shared" si="27"/>
        <v>0.51550387596899228</v>
      </c>
      <c r="CA30" s="23">
        <v>2.78</v>
      </c>
      <c r="CB30" s="39">
        <f t="shared" si="28"/>
        <v>3.3399532819592874</v>
      </c>
      <c r="CC30" s="38">
        <f t="shared" si="29"/>
        <v>2.3684600079554698</v>
      </c>
      <c r="CD30" s="38">
        <f t="shared" si="30"/>
        <v>2.3092485077565827</v>
      </c>
      <c r="CE30" s="32">
        <f t="shared" si="31"/>
        <v>31.648546856304964</v>
      </c>
      <c r="CF30" s="32">
        <f t="shared" si="32"/>
        <v>29.220875348150606</v>
      </c>
      <c r="CG30" s="32">
        <f t="shared" si="33"/>
        <v>55.392358436058551</v>
      </c>
      <c r="CH30" s="32">
        <f t="shared" si="34"/>
        <v>54.948272184566896</v>
      </c>
      <c r="CI30" s="32">
        <f t="shared" si="35"/>
        <v>4.3214397307643679</v>
      </c>
      <c r="CJ30">
        <v>2026.633333</v>
      </c>
      <c r="CK30">
        <v>80</v>
      </c>
      <c r="CL30">
        <v>78</v>
      </c>
      <c r="CM30" s="35">
        <v>989</v>
      </c>
      <c r="CN30">
        <v>909</v>
      </c>
      <c r="CO30">
        <v>352</v>
      </c>
      <c r="CP30">
        <v>395</v>
      </c>
      <c r="CQ30">
        <v>450</v>
      </c>
      <c r="CR30">
        <v>474</v>
      </c>
      <c r="CS30" s="20">
        <v>11</v>
      </c>
      <c r="CT30" s="20">
        <v>5</v>
      </c>
      <c r="CU30" s="35">
        <f t="shared" si="36"/>
        <v>-6</v>
      </c>
      <c r="CV30" s="38">
        <f t="shared" si="37"/>
        <v>1.0853775524188021</v>
      </c>
      <c r="CW30" s="38">
        <f t="shared" si="38"/>
        <v>0.49335343291763739</v>
      </c>
      <c r="CX30" s="38">
        <f t="shared" si="39"/>
        <v>-0.59202411950116485</v>
      </c>
      <c r="CY30" s="40">
        <v>23.52</v>
      </c>
      <c r="CZ30" s="40">
        <v>20.62</v>
      </c>
      <c r="DA30" s="40">
        <v>20.41</v>
      </c>
      <c r="DB30" s="40">
        <v>25.51</v>
      </c>
      <c r="DC30" s="40">
        <v>20.92</v>
      </c>
      <c r="DD30" s="40">
        <v>22.82</v>
      </c>
      <c r="DE30">
        <v>0</v>
      </c>
      <c r="DF30">
        <v>0</v>
      </c>
      <c r="DG30" s="33" t="str">
        <f t="shared" si="40"/>
        <v xml:space="preserve"> </v>
      </c>
      <c r="DH30">
        <v>0</v>
      </c>
      <c r="DI30">
        <v>0</v>
      </c>
      <c r="DJ30">
        <v>0</v>
      </c>
      <c r="DK30">
        <v>0</v>
      </c>
      <c r="DL30">
        <v>0</v>
      </c>
      <c r="DM30" s="1" t="s">
        <v>260</v>
      </c>
      <c r="DN30" t="s">
        <v>261</v>
      </c>
    </row>
    <row r="31" spans="1:118" x14ac:dyDescent="0.25">
      <c r="A31" t="s">
        <v>262</v>
      </c>
      <c r="B31" t="s">
        <v>263</v>
      </c>
      <c r="C31" s="1" t="s">
        <v>244</v>
      </c>
      <c r="D31" s="2" t="s">
        <v>125</v>
      </c>
      <c r="E31">
        <v>78</v>
      </c>
      <c r="F31">
        <f>(15/78)</f>
        <v>0.19230769230769232</v>
      </c>
      <c r="G31" t="s">
        <v>537</v>
      </c>
      <c r="H31">
        <f>(25/58)</f>
        <v>0.43103448275862066</v>
      </c>
      <c r="I31">
        <v>5</v>
      </c>
      <c r="J31">
        <v>7</v>
      </c>
      <c r="K31" s="29">
        <f t="shared" si="0"/>
        <v>12</v>
      </c>
      <c r="L31" s="30">
        <f t="shared" si="1"/>
        <v>0.78341765953974218</v>
      </c>
      <c r="M31" s="20">
        <v>5</v>
      </c>
      <c r="N31" s="20">
        <v>3</v>
      </c>
      <c r="O31" s="20">
        <v>4</v>
      </c>
      <c r="P31" s="20">
        <v>57</v>
      </c>
      <c r="Q31" s="20">
        <v>22</v>
      </c>
      <c r="R31" s="20">
        <v>22</v>
      </c>
      <c r="S31" s="20">
        <v>73</v>
      </c>
      <c r="T31" s="31">
        <f t="shared" si="2"/>
        <v>8.771929824561403E-2</v>
      </c>
      <c r="U31" s="31">
        <f t="shared" si="3"/>
        <v>4.9504950495049507E-2</v>
      </c>
      <c r="V31">
        <v>55143</v>
      </c>
      <c r="W31" s="32">
        <f t="shared" si="4"/>
        <v>11.782692307692308</v>
      </c>
      <c r="X31" s="23">
        <v>906.27</v>
      </c>
      <c r="Y31" s="32">
        <f t="shared" si="5"/>
        <v>11.618846153846153</v>
      </c>
      <c r="Z31" s="23">
        <v>2773.93</v>
      </c>
      <c r="AA31" s="32">
        <f t="shared" si="6"/>
        <v>35.563205128205126</v>
      </c>
      <c r="AB31" s="33">
        <f t="shared" si="7"/>
        <v>0.24625563828052824</v>
      </c>
      <c r="AC31" s="34">
        <f t="shared" si="8"/>
        <v>46.090909090909093</v>
      </c>
      <c r="AD31" s="20">
        <v>25</v>
      </c>
      <c r="AE31" s="20">
        <v>140</v>
      </c>
      <c r="AF31" s="20">
        <v>74</v>
      </c>
      <c r="AG31" s="20">
        <v>17</v>
      </c>
      <c r="AH31" s="20">
        <v>22</v>
      </c>
      <c r="AI31" s="31">
        <f t="shared" si="9"/>
        <v>0.22727272727272727</v>
      </c>
      <c r="AJ31" s="31">
        <f t="shared" si="10"/>
        <v>0.31818181818181818</v>
      </c>
      <c r="AK31" s="31">
        <f t="shared" si="11"/>
        <v>0.54545454545454541</v>
      </c>
      <c r="AL31" s="20">
        <v>225</v>
      </c>
      <c r="AM31" s="33">
        <f t="shared" si="12"/>
        <v>0.27439024390243905</v>
      </c>
      <c r="AN31" s="20">
        <v>284</v>
      </c>
      <c r="AO31" s="33">
        <f t="shared" si="13"/>
        <v>0.34634146341463412</v>
      </c>
      <c r="AP31" s="20">
        <v>311</v>
      </c>
      <c r="AQ31" s="33">
        <f t="shared" si="14"/>
        <v>0.37926829268292683</v>
      </c>
      <c r="AR31" s="33">
        <f t="shared" si="15"/>
        <v>0.44204322200392926</v>
      </c>
      <c r="AS31" s="1">
        <v>11</v>
      </c>
      <c r="AT31" s="23">
        <v>-1.48</v>
      </c>
      <c r="AU31" s="20">
        <v>17.350000000000001</v>
      </c>
      <c r="AV31" s="35">
        <v>8</v>
      </c>
      <c r="AW31" s="36">
        <v>0.20300000000000001</v>
      </c>
      <c r="AX31" s="1">
        <v>8</v>
      </c>
      <c r="AY31" s="36">
        <v>-9.0000000000000011E-3</v>
      </c>
      <c r="AZ31" s="20">
        <v>50.13</v>
      </c>
      <c r="BA31" s="20">
        <v>17.57</v>
      </c>
      <c r="BB31" s="36">
        <v>0.14100000000000001</v>
      </c>
      <c r="BC31" s="36">
        <v>-7.3929999999999998</v>
      </c>
      <c r="BD31" s="20">
        <v>47.66</v>
      </c>
      <c r="BE31" s="33">
        <f t="shared" si="16"/>
        <v>6.5088757396449703E-2</v>
      </c>
      <c r="BF31" s="37">
        <f t="shared" si="17"/>
        <v>0.92822966507177029</v>
      </c>
      <c r="BG31" s="35">
        <f t="shared" si="18"/>
        <v>993.31842246822009</v>
      </c>
      <c r="BH31" s="33">
        <f t="shared" si="19"/>
        <v>-6.681577531780003E-3</v>
      </c>
      <c r="BI31" s="38">
        <f t="shared" si="20"/>
        <v>1.4565195802575392</v>
      </c>
      <c r="BJ31" s="38">
        <f t="shared" si="21"/>
        <v>1.9861630639875534</v>
      </c>
      <c r="BK31" s="32">
        <f t="shared" si="22"/>
        <v>22.377437187593102</v>
      </c>
      <c r="BL31" s="32">
        <f t="shared" si="23"/>
        <v>27.673872024893246</v>
      </c>
      <c r="BM31" s="32">
        <f t="shared" si="24"/>
        <v>42.040451521069876</v>
      </c>
      <c r="BN31" s="32">
        <f t="shared" si="25"/>
        <v>49.587871164222584</v>
      </c>
      <c r="BO31" s="32">
        <f t="shared" si="26"/>
        <v>-7.5474196431527076</v>
      </c>
      <c r="BP31" s="20">
        <v>22</v>
      </c>
      <c r="BQ31" s="20">
        <v>30</v>
      </c>
      <c r="BR31" s="35">
        <v>316</v>
      </c>
      <c r="BS31" s="35">
        <v>388</v>
      </c>
      <c r="BT31" s="20">
        <v>144</v>
      </c>
      <c r="BU31" s="20">
        <v>148</v>
      </c>
      <c r="BV31" s="20">
        <v>153</v>
      </c>
      <c r="BW31" s="20">
        <v>183</v>
      </c>
      <c r="BX31" s="20">
        <v>298</v>
      </c>
      <c r="BY31" s="20">
        <v>388</v>
      </c>
      <c r="BZ31" s="33">
        <f t="shared" si="27"/>
        <v>0.43440233236151604</v>
      </c>
      <c r="CA31" s="23">
        <v>-5.19</v>
      </c>
      <c r="CB31" s="39">
        <f t="shared" si="28"/>
        <v>1.1375430287529902</v>
      </c>
      <c r="CC31" s="38">
        <f t="shared" si="29"/>
        <v>1.6672039372104115</v>
      </c>
      <c r="CD31" s="38">
        <f t="shared" si="30"/>
        <v>2.108522626471991</v>
      </c>
      <c r="CE31" s="32">
        <f t="shared" si="31"/>
        <v>23.471616214060301</v>
      </c>
      <c r="CF31" s="32">
        <f t="shared" si="32"/>
        <v>27.100236547988846</v>
      </c>
      <c r="CG31" s="32">
        <f t="shared" si="33"/>
        <v>42.317558759193673</v>
      </c>
      <c r="CH31" s="32">
        <f t="shared" si="34"/>
        <v>49.264241830903728</v>
      </c>
      <c r="CI31" s="32">
        <f t="shared" si="35"/>
        <v>-0.60073657144265269</v>
      </c>
      <c r="CJ31">
        <v>3670.8166670000001</v>
      </c>
      <c r="CK31">
        <v>102</v>
      </c>
      <c r="CL31">
        <v>129</v>
      </c>
      <c r="CM31" s="35">
        <v>1334</v>
      </c>
      <c r="CN31">
        <v>1529</v>
      </c>
      <c r="CO31">
        <v>560</v>
      </c>
      <c r="CP31">
        <v>587</v>
      </c>
      <c r="CQ31">
        <v>593</v>
      </c>
      <c r="CR31">
        <v>769</v>
      </c>
      <c r="CS31" s="20">
        <v>12</v>
      </c>
      <c r="CT31" s="20">
        <v>12</v>
      </c>
      <c r="CU31" s="35">
        <f t="shared" si="36"/>
        <v>0</v>
      </c>
      <c r="CV31" s="38">
        <f t="shared" si="37"/>
        <v>0.78341765953974207</v>
      </c>
      <c r="CW31" s="38">
        <f t="shared" si="38"/>
        <v>0.78341765953974207</v>
      </c>
      <c r="CX31" s="38">
        <f t="shared" si="39"/>
        <v>0</v>
      </c>
      <c r="CY31" s="40">
        <v>25.37</v>
      </c>
      <c r="CZ31" s="40">
        <v>32.909999999999997</v>
      </c>
      <c r="DA31" s="40">
        <v>24.89</v>
      </c>
      <c r="DB31" s="40">
        <v>28.14</v>
      </c>
      <c r="DC31" s="40">
        <v>29.84</v>
      </c>
      <c r="DD31" s="40">
        <v>28.89</v>
      </c>
      <c r="DE31">
        <v>126</v>
      </c>
      <c r="DF31">
        <v>173</v>
      </c>
      <c r="DG31" s="33">
        <f t="shared" si="40"/>
        <v>0.42140468227424749</v>
      </c>
      <c r="DH31">
        <v>-0.98</v>
      </c>
      <c r="DI31">
        <v>-5.03</v>
      </c>
      <c r="DJ31">
        <v>82</v>
      </c>
      <c r="DK31">
        <v>128</v>
      </c>
      <c r="DL31">
        <v>86</v>
      </c>
      <c r="DM31" s="1" t="s">
        <v>264</v>
      </c>
      <c r="DN31" t="s">
        <v>265</v>
      </c>
    </row>
    <row r="32" spans="1:118" ht="39" x14ac:dyDescent="0.25">
      <c r="A32" t="s">
        <v>266</v>
      </c>
      <c r="B32" t="s">
        <v>267</v>
      </c>
      <c r="C32" s="1" t="s">
        <v>268</v>
      </c>
      <c r="D32" s="2" t="s">
        <v>163</v>
      </c>
      <c r="E32">
        <v>42</v>
      </c>
      <c r="F32">
        <f>(15/42)</f>
        <v>0.35714285714285715</v>
      </c>
      <c r="G32" t="s">
        <v>544</v>
      </c>
      <c r="H32">
        <f>(30/72)</f>
        <v>0.41666666666666669</v>
      </c>
      <c r="I32">
        <v>3</v>
      </c>
      <c r="J32">
        <v>10</v>
      </c>
      <c r="K32" s="29">
        <f t="shared" si="0"/>
        <v>13</v>
      </c>
      <c r="L32" s="30">
        <f t="shared" si="1"/>
        <v>1.6602809706257982</v>
      </c>
      <c r="M32" s="20">
        <v>3</v>
      </c>
      <c r="N32" s="20">
        <v>6</v>
      </c>
      <c r="O32" s="20">
        <v>3</v>
      </c>
      <c r="P32" s="20">
        <v>44</v>
      </c>
      <c r="Q32" s="20">
        <v>16</v>
      </c>
      <c r="R32" s="20">
        <v>10</v>
      </c>
      <c r="S32" s="20">
        <v>41</v>
      </c>
      <c r="T32" s="31">
        <f t="shared" si="2"/>
        <v>6.8181818181818177E-2</v>
      </c>
      <c r="U32" s="31">
        <f t="shared" si="3"/>
        <v>4.2857142857142858E-2</v>
      </c>
      <c r="V32">
        <v>28188</v>
      </c>
      <c r="W32" s="32">
        <f t="shared" si="4"/>
        <v>11.185714285714285</v>
      </c>
      <c r="X32" s="23">
        <v>463.5</v>
      </c>
      <c r="Y32" s="32">
        <f t="shared" si="5"/>
        <v>11.035714285714286</v>
      </c>
      <c r="Z32" s="23">
        <v>1559.16</v>
      </c>
      <c r="AA32" s="32">
        <f t="shared" si="6"/>
        <v>37.122857142857143</v>
      </c>
      <c r="AB32" s="33">
        <f t="shared" si="7"/>
        <v>0.22915368870695027</v>
      </c>
      <c r="AC32" s="34">
        <f t="shared" si="8"/>
        <v>76.588235294117652</v>
      </c>
      <c r="AD32" s="20">
        <v>31</v>
      </c>
      <c r="AE32" s="20">
        <v>56</v>
      </c>
      <c r="AF32" s="20">
        <v>43</v>
      </c>
      <c r="AG32" s="20">
        <v>6</v>
      </c>
      <c r="AH32" s="20">
        <v>4</v>
      </c>
      <c r="AI32" s="31">
        <f t="shared" si="9"/>
        <v>0.17647058823529413</v>
      </c>
      <c r="AJ32" s="31">
        <f t="shared" si="10"/>
        <v>0.52941176470588236</v>
      </c>
      <c r="AK32" s="31">
        <f t="shared" si="11"/>
        <v>0.70588235294117652</v>
      </c>
      <c r="AL32" s="20">
        <v>89</v>
      </c>
      <c r="AM32" s="33">
        <f t="shared" si="12"/>
        <v>0.20181405895691609</v>
      </c>
      <c r="AN32" s="20">
        <v>187</v>
      </c>
      <c r="AO32" s="33">
        <f t="shared" si="13"/>
        <v>0.42403628117913833</v>
      </c>
      <c r="AP32" s="20">
        <v>165</v>
      </c>
      <c r="AQ32" s="33">
        <f t="shared" si="14"/>
        <v>0.37414965986394561</v>
      </c>
      <c r="AR32" s="33">
        <f t="shared" si="15"/>
        <v>0.32246376811594202</v>
      </c>
      <c r="AS32" s="1">
        <v>2</v>
      </c>
      <c r="AT32" s="23">
        <v>-26.25</v>
      </c>
      <c r="AU32" s="20">
        <v>17.09</v>
      </c>
      <c r="AV32" s="35">
        <v>9</v>
      </c>
      <c r="AW32" s="36">
        <v>0.44700000000000001</v>
      </c>
      <c r="AX32" s="1">
        <v>8</v>
      </c>
      <c r="AY32" s="36">
        <v>-0.68200000000000005</v>
      </c>
      <c r="AZ32" s="20">
        <v>49.77</v>
      </c>
      <c r="BA32" s="20">
        <v>17.100000000000001</v>
      </c>
      <c r="BB32" s="36">
        <v>-4.5120000000000005</v>
      </c>
      <c r="BC32" s="36">
        <v>3.5339999999999998</v>
      </c>
      <c r="BD32" s="20">
        <v>51.72</v>
      </c>
      <c r="BE32" s="33">
        <f t="shared" si="16"/>
        <v>7.8341013824884786E-2</v>
      </c>
      <c r="BF32" s="37">
        <f t="shared" si="17"/>
        <v>0.93191489361702129</v>
      </c>
      <c r="BG32" s="35">
        <f t="shared" si="18"/>
        <v>1010.2559074419062</v>
      </c>
      <c r="BH32" s="33">
        <f t="shared" si="19"/>
        <v>1.0255907441906076E-2</v>
      </c>
      <c r="BI32" s="38">
        <f t="shared" si="20"/>
        <v>2.2006472491909381</v>
      </c>
      <c r="BJ32" s="38">
        <f t="shared" si="21"/>
        <v>2.0711974110032361</v>
      </c>
      <c r="BK32" s="32">
        <f t="shared" si="22"/>
        <v>28.090614886731387</v>
      </c>
      <c r="BL32" s="32">
        <f t="shared" si="23"/>
        <v>30.420711974110027</v>
      </c>
      <c r="BM32" s="32">
        <f t="shared" si="24"/>
        <v>48.673139158576042</v>
      </c>
      <c r="BN32" s="32">
        <f t="shared" si="25"/>
        <v>54.627831715210348</v>
      </c>
      <c r="BO32" s="32">
        <f t="shared" si="26"/>
        <v>-5.9546925566343063</v>
      </c>
      <c r="BP32" s="20">
        <v>17</v>
      </c>
      <c r="BQ32" s="20">
        <v>16</v>
      </c>
      <c r="BR32" s="35">
        <v>200</v>
      </c>
      <c r="BS32" s="35">
        <v>219</v>
      </c>
      <c r="BT32" s="20">
        <v>70</v>
      </c>
      <c r="BU32" s="20">
        <v>75</v>
      </c>
      <c r="BV32" s="20">
        <v>89</v>
      </c>
      <c r="BW32" s="20">
        <v>112</v>
      </c>
      <c r="BX32" s="20">
        <v>196</v>
      </c>
      <c r="BY32" s="20">
        <v>174</v>
      </c>
      <c r="BZ32" s="33">
        <f t="shared" si="27"/>
        <v>0.52972972972972976</v>
      </c>
      <c r="CA32" s="23">
        <v>-6.9</v>
      </c>
      <c r="CB32" s="39">
        <f t="shared" si="28"/>
        <v>-5.9998229914169139</v>
      </c>
      <c r="CC32" s="38">
        <f t="shared" si="29"/>
        <v>3.1156499591998217</v>
      </c>
      <c r="CD32" s="38">
        <f t="shared" si="30"/>
        <v>2.047427116045597</v>
      </c>
      <c r="CE32" s="32">
        <f t="shared" si="31"/>
        <v>33.381963848569526</v>
      </c>
      <c r="CF32" s="32">
        <f t="shared" si="32"/>
        <v>26.824262505872753</v>
      </c>
      <c r="CG32" s="32">
        <f t="shared" si="33"/>
        <v>60.146880640933709</v>
      </c>
      <c r="CH32" s="32">
        <f t="shared" si="34"/>
        <v>49.375633639128608</v>
      </c>
      <c r="CI32" s="32">
        <f t="shared" si="35"/>
        <v>-16.725939558439407</v>
      </c>
      <c r="CJ32">
        <v>2022.05</v>
      </c>
      <c r="CK32">
        <v>105</v>
      </c>
      <c r="CL32">
        <v>69</v>
      </c>
      <c r="CM32" s="35">
        <v>1020</v>
      </c>
      <c r="CN32">
        <v>835</v>
      </c>
      <c r="CO32">
        <v>382</v>
      </c>
      <c r="CP32">
        <v>314</v>
      </c>
      <c r="CQ32">
        <v>520</v>
      </c>
      <c r="CR32">
        <v>446</v>
      </c>
      <c r="CS32" s="20">
        <v>1</v>
      </c>
      <c r="CT32" s="20">
        <v>9</v>
      </c>
      <c r="CU32" s="35">
        <f t="shared" si="36"/>
        <v>8</v>
      </c>
      <c r="CV32" s="38">
        <f t="shared" si="37"/>
        <v>0.12771392081736913</v>
      </c>
      <c r="CW32" s="38">
        <f t="shared" si="38"/>
        <v>1.149425287356322</v>
      </c>
      <c r="CX32" s="38">
        <f t="shared" si="39"/>
        <v>1.021711366538953</v>
      </c>
      <c r="CY32" s="40">
        <v>17.79</v>
      </c>
      <c r="CZ32" s="40">
        <v>16.899999999999999</v>
      </c>
      <c r="DA32" s="40">
        <v>17.39</v>
      </c>
      <c r="DB32" s="40">
        <v>21.09</v>
      </c>
      <c r="DC32" s="40">
        <v>21.54</v>
      </c>
      <c r="DD32" s="40">
        <v>15.88</v>
      </c>
      <c r="DE32">
        <v>0</v>
      </c>
      <c r="DF32">
        <v>1</v>
      </c>
      <c r="DG32" s="33">
        <f t="shared" si="40"/>
        <v>0</v>
      </c>
      <c r="DH32">
        <v>-0.01</v>
      </c>
      <c r="DI32">
        <v>0.76</v>
      </c>
      <c r="DJ32">
        <v>1</v>
      </c>
      <c r="DK32">
        <v>0</v>
      </c>
      <c r="DL32">
        <v>0</v>
      </c>
      <c r="DM32" s="2" t="s">
        <v>269</v>
      </c>
      <c r="DN32" t="s">
        <v>270</v>
      </c>
    </row>
    <row r="33" spans="1:118" x14ac:dyDescent="0.25">
      <c r="A33" t="s">
        <v>271</v>
      </c>
      <c r="B33" t="s">
        <v>272</v>
      </c>
      <c r="C33" s="1" t="s">
        <v>147</v>
      </c>
      <c r="D33" s="2" t="s">
        <v>239</v>
      </c>
      <c r="E33">
        <v>37</v>
      </c>
      <c r="F33">
        <f>(14/37)</f>
        <v>0.3783783783783784</v>
      </c>
      <c r="G33" t="s">
        <v>544</v>
      </c>
      <c r="H33">
        <f>(32/55)</f>
        <v>0.58181818181818179</v>
      </c>
      <c r="I33">
        <v>8</v>
      </c>
      <c r="J33">
        <v>5</v>
      </c>
      <c r="K33" s="29">
        <f t="shared" si="0"/>
        <v>13</v>
      </c>
      <c r="L33" s="30">
        <f t="shared" si="1"/>
        <v>2.4827586206896552</v>
      </c>
      <c r="M33" s="20">
        <v>7</v>
      </c>
      <c r="N33" s="20">
        <v>2</v>
      </c>
      <c r="O33" s="20">
        <v>3</v>
      </c>
      <c r="P33" s="20">
        <v>42</v>
      </c>
      <c r="Q33" s="20">
        <v>17</v>
      </c>
      <c r="R33" s="20">
        <v>12</v>
      </c>
      <c r="S33" s="20">
        <v>52</v>
      </c>
      <c r="T33" s="31">
        <f t="shared" si="2"/>
        <v>0.19047619047619047</v>
      </c>
      <c r="U33" s="31">
        <f t="shared" si="3"/>
        <v>0.11267605633802817</v>
      </c>
      <c r="V33">
        <v>18850</v>
      </c>
      <c r="W33" s="32">
        <f t="shared" si="4"/>
        <v>8.4909909909909906</v>
      </c>
      <c r="X33" s="23">
        <v>306.12</v>
      </c>
      <c r="Y33" s="32">
        <f t="shared" si="5"/>
        <v>8.2735135135135138</v>
      </c>
      <c r="Z33" s="23">
        <v>1421.87</v>
      </c>
      <c r="AA33" s="32">
        <f t="shared" si="6"/>
        <v>38.428918918918917</v>
      </c>
      <c r="AB33" s="33">
        <f t="shared" si="7"/>
        <v>0.17715380297339686</v>
      </c>
      <c r="AC33" s="34">
        <f t="shared" si="8"/>
        <v>23</v>
      </c>
      <c r="AD33" s="20">
        <v>7</v>
      </c>
      <c r="AE33" s="20">
        <v>15</v>
      </c>
      <c r="AF33" s="20">
        <v>27</v>
      </c>
      <c r="AG33" s="20">
        <v>5</v>
      </c>
      <c r="AH33" s="20">
        <v>10</v>
      </c>
      <c r="AI33" s="31">
        <f t="shared" si="9"/>
        <v>0.5</v>
      </c>
      <c r="AJ33" s="31">
        <f t="shared" si="10"/>
        <v>0.35714285714285715</v>
      </c>
      <c r="AK33" s="31">
        <f t="shared" si="11"/>
        <v>0.85714285714285721</v>
      </c>
      <c r="AL33" s="20">
        <v>100</v>
      </c>
      <c r="AM33" s="33">
        <f t="shared" si="12"/>
        <v>0.38461538461538464</v>
      </c>
      <c r="AN33" s="20">
        <v>56</v>
      </c>
      <c r="AO33" s="33">
        <f t="shared" si="13"/>
        <v>0.2153846153846154</v>
      </c>
      <c r="AP33" s="20">
        <v>104</v>
      </c>
      <c r="AQ33" s="33">
        <f t="shared" si="14"/>
        <v>0.4</v>
      </c>
      <c r="AR33" s="33">
        <f t="shared" si="15"/>
        <v>0.64102564102564108</v>
      </c>
      <c r="AS33" s="1">
        <v>14</v>
      </c>
      <c r="AT33" s="23">
        <v>9.94</v>
      </c>
      <c r="AU33" s="20">
        <v>16.7</v>
      </c>
      <c r="AV33" s="35">
        <v>14</v>
      </c>
      <c r="AW33" s="36">
        <v>-0.45700000000000002</v>
      </c>
      <c r="AX33" s="1">
        <v>14</v>
      </c>
      <c r="AY33" s="36">
        <v>-1.1120000000000001</v>
      </c>
      <c r="AZ33" s="20">
        <v>49.76</v>
      </c>
      <c r="BA33" s="20">
        <v>17.07</v>
      </c>
      <c r="BB33" s="36">
        <v>0.214</v>
      </c>
      <c r="BC33" s="36">
        <v>3.5960000000000001</v>
      </c>
      <c r="BD33" s="20">
        <v>52.39</v>
      </c>
      <c r="BE33" s="33">
        <f t="shared" si="16"/>
        <v>8.6956521739130432E-2</v>
      </c>
      <c r="BF33" s="37">
        <f t="shared" si="17"/>
        <v>0.91666666666666663</v>
      </c>
      <c r="BG33" s="35">
        <f t="shared" si="18"/>
        <v>1003.623188405797</v>
      </c>
      <c r="BH33" s="33">
        <f t="shared" si="19"/>
        <v>3.623188405797062E-3</v>
      </c>
      <c r="BI33" s="38">
        <f t="shared" si="20"/>
        <v>2.7440219521756175</v>
      </c>
      <c r="BJ33" s="38">
        <f t="shared" si="21"/>
        <v>2.7440219521756175</v>
      </c>
      <c r="BK33" s="32">
        <f t="shared" si="22"/>
        <v>31.556252450019599</v>
      </c>
      <c r="BL33" s="32">
        <f t="shared" si="23"/>
        <v>32.928263426107414</v>
      </c>
      <c r="BM33" s="32">
        <f t="shared" si="24"/>
        <v>54.488435907487258</v>
      </c>
      <c r="BN33" s="32">
        <f t="shared" si="25"/>
        <v>52.332418659349273</v>
      </c>
      <c r="BO33" s="32">
        <f t="shared" si="26"/>
        <v>2.1560172481379851</v>
      </c>
      <c r="BP33" s="20">
        <v>14</v>
      </c>
      <c r="BQ33" s="20">
        <v>14</v>
      </c>
      <c r="BR33" s="35">
        <v>147</v>
      </c>
      <c r="BS33" s="35">
        <v>154</v>
      </c>
      <c r="BT33" s="20">
        <v>56</v>
      </c>
      <c r="BU33" s="20">
        <v>52</v>
      </c>
      <c r="BV33" s="20">
        <v>61</v>
      </c>
      <c r="BW33" s="20">
        <v>47</v>
      </c>
      <c r="BX33" s="20">
        <v>143</v>
      </c>
      <c r="BY33" s="20">
        <v>146</v>
      </c>
      <c r="BZ33" s="33">
        <f t="shared" si="27"/>
        <v>0.49480968858131485</v>
      </c>
      <c r="CA33" s="23">
        <v>-4.4800000000000004</v>
      </c>
      <c r="CB33" s="39">
        <f t="shared" si="28"/>
        <v>-6.0265981364774017</v>
      </c>
      <c r="CC33" s="38">
        <f t="shared" si="29"/>
        <v>1.9057152210640658</v>
      </c>
      <c r="CD33" s="38">
        <f t="shared" si="30"/>
        <v>2.4947544712111407</v>
      </c>
      <c r="CE33" s="32">
        <f t="shared" si="31"/>
        <v>29.867754919222264</v>
      </c>
      <c r="CF33" s="32">
        <f t="shared" si="32"/>
        <v>28.239234639403882</v>
      </c>
      <c r="CG33" s="32">
        <f t="shared" si="33"/>
        <v>55.716183190382139</v>
      </c>
      <c r="CH33" s="32">
        <f t="shared" si="34"/>
        <v>48.127971673781587</v>
      </c>
      <c r="CI33" s="32">
        <f t="shared" si="35"/>
        <v>-5.4321942684625668</v>
      </c>
      <c r="CJ33">
        <v>1731.633333</v>
      </c>
      <c r="CK33">
        <v>55</v>
      </c>
      <c r="CL33">
        <v>72</v>
      </c>
      <c r="CM33" s="35">
        <v>807</v>
      </c>
      <c r="CN33">
        <v>743</v>
      </c>
      <c r="CO33">
        <v>363</v>
      </c>
      <c r="CP33">
        <v>297</v>
      </c>
      <c r="CQ33">
        <v>383</v>
      </c>
      <c r="CR33">
        <v>277</v>
      </c>
      <c r="CS33" s="20">
        <v>0</v>
      </c>
      <c r="CT33" s="20">
        <v>13</v>
      </c>
      <c r="CU33" s="35">
        <f t="shared" si="36"/>
        <v>13</v>
      </c>
      <c r="CV33" s="38">
        <f t="shared" si="37"/>
        <v>0</v>
      </c>
      <c r="CW33" s="38">
        <f t="shared" si="38"/>
        <v>2.4827586206896557</v>
      </c>
      <c r="CX33" s="38">
        <f t="shared" si="39"/>
        <v>2.4827586206896557</v>
      </c>
      <c r="CY33" s="40">
        <v>13.14</v>
      </c>
      <c r="CZ33" s="40">
        <v>13.43</v>
      </c>
      <c r="DA33" s="40">
        <v>6.85</v>
      </c>
      <c r="DB33" s="40">
        <v>10.57</v>
      </c>
      <c r="DC33" s="40">
        <v>13.04</v>
      </c>
      <c r="DD33" s="40">
        <v>10.16</v>
      </c>
      <c r="DE33">
        <v>53</v>
      </c>
      <c r="DF33">
        <v>75</v>
      </c>
      <c r="DG33" s="33">
        <f t="shared" si="40"/>
        <v>0.4140625</v>
      </c>
      <c r="DH33">
        <v>-0.23</v>
      </c>
      <c r="DI33">
        <v>-7.22</v>
      </c>
      <c r="DJ33">
        <v>50</v>
      </c>
      <c r="DK33">
        <v>59</v>
      </c>
      <c r="DL33">
        <v>16</v>
      </c>
      <c r="DM33" s="1" t="s">
        <v>273</v>
      </c>
      <c r="DN33" t="s">
        <v>274</v>
      </c>
    </row>
    <row r="34" spans="1:118" x14ac:dyDescent="0.25">
      <c r="A34" t="s">
        <v>275</v>
      </c>
      <c r="B34" t="s">
        <v>276</v>
      </c>
      <c r="C34" s="1" t="s">
        <v>124</v>
      </c>
      <c r="D34" s="2" t="s">
        <v>142</v>
      </c>
      <c r="E34">
        <v>77</v>
      </c>
      <c r="F34">
        <f>(14/77)</f>
        <v>0.18181818181818182</v>
      </c>
      <c r="G34" t="s">
        <v>544</v>
      </c>
      <c r="H34">
        <f>(29/57)</f>
        <v>0.50877192982456143</v>
      </c>
      <c r="I34">
        <v>4</v>
      </c>
      <c r="J34">
        <v>10</v>
      </c>
      <c r="K34" s="29">
        <f t="shared" si="0"/>
        <v>14</v>
      </c>
      <c r="L34" s="30">
        <f t="shared" si="1"/>
        <v>0.62194580186583737</v>
      </c>
      <c r="M34" s="20">
        <v>3</v>
      </c>
      <c r="N34" s="20">
        <v>5</v>
      </c>
      <c r="O34" s="20">
        <v>3</v>
      </c>
      <c r="P34" s="20">
        <v>55</v>
      </c>
      <c r="Q34" s="20">
        <v>30</v>
      </c>
      <c r="R34" s="20">
        <v>49</v>
      </c>
      <c r="S34" s="20">
        <v>33</v>
      </c>
      <c r="T34" s="31">
        <f t="shared" si="2"/>
        <v>7.2727272727272724E-2</v>
      </c>
      <c r="U34" s="31">
        <f t="shared" si="3"/>
        <v>2.9850746268656716E-2</v>
      </c>
      <c r="V34">
        <v>81036</v>
      </c>
      <c r="W34" s="32">
        <f t="shared" si="4"/>
        <v>17.540259740259739</v>
      </c>
      <c r="X34" s="23">
        <v>1321.96</v>
      </c>
      <c r="Y34" s="32">
        <f t="shared" si="5"/>
        <v>17.16831168831169</v>
      </c>
      <c r="Z34" s="23">
        <v>2429.08</v>
      </c>
      <c r="AA34" s="32">
        <f t="shared" si="6"/>
        <v>31.546493506493505</v>
      </c>
      <c r="AB34" s="33">
        <f t="shared" si="7"/>
        <v>0.35242492748677701</v>
      </c>
      <c r="AC34" s="34">
        <f t="shared" si="8"/>
        <v>77.125</v>
      </c>
      <c r="AD34" s="20">
        <v>86</v>
      </c>
      <c r="AE34" s="20">
        <v>110</v>
      </c>
      <c r="AF34" s="20">
        <v>142</v>
      </c>
      <c r="AG34" s="20">
        <v>26</v>
      </c>
      <c r="AH34" s="20">
        <v>15</v>
      </c>
      <c r="AI34" s="31">
        <f t="shared" si="9"/>
        <v>7.4999999999999997E-2</v>
      </c>
      <c r="AJ34" s="31">
        <f t="shared" si="10"/>
        <v>0.2</v>
      </c>
      <c r="AK34" s="31">
        <f t="shared" si="11"/>
        <v>0.27500000000000002</v>
      </c>
      <c r="AL34" s="20">
        <v>372</v>
      </c>
      <c r="AM34" s="33">
        <f t="shared" si="12"/>
        <v>0.31958762886597936</v>
      </c>
      <c r="AN34" s="20">
        <v>384</v>
      </c>
      <c r="AO34" s="33">
        <f t="shared" si="13"/>
        <v>0.32989690721649484</v>
      </c>
      <c r="AP34" s="20">
        <v>408</v>
      </c>
      <c r="AQ34" s="33">
        <f t="shared" si="14"/>
        <v>0.35051546391752575</v>
      </c>
      <c r="AR34" s="33">
        <f t="shared" si="15"/>
        <v>0.49206349206349204</v>
      </c>
      <c r="AS34" s="1">
        <v>3</v>
      </c>
      <c r="AT34" s="23">
        <v>2.04</v>
      </c>
      <c r="AU34" s="20">
        <v>17.28</v>
      </c>
      <c r="AV34" s="35">
        <v>4</v>
      </c>
      <c r="AW34" s="36">
        <v>0.45100000000000001</v>
      </c>
      <c r="AX34" s="1">
        <v>4</v>
      </c>
      <c r="AY34" s="36">
        <v>0.91900000000000004</v>
      </c>
      <c r="AZ34" s="20">
        <v>50.34</v>
      </c>
      <c r="BA34" s="20">
        <v>17.13</v>
      </c>
      <c r="BB34" s="36">
        <v>1.155</v>
      </c>
      <c r="BC34" s="36">
        <v>-4.47</v>
      </c>
      <c r="BD34" s="20">
        <v>46.62</v>
      </c>
      <c r="BE34" s="33">
        <f t="shared" si="16"/>
        <v>6.4829821717990274E-2</v>
      </c>
      <c r="BF34" s="37">
        <f t="shared" si="17"/>
        <v>0.93178294573643405</v>
      </c>
      <c r="BG34" s="35">
        <f t="shared" si="18"/>
        <v>996.61276745442433</v>
      </c>
      <c r="BH34" s="33">
        <f t="shared" si="19"/>
        <v>-3.3872325455756719E-3</v>
      </c>
      <c r="BI34" s="38">
        <f t="shared" si="20"/>
        <v>1.8154860964023118</v>
      </c>
      <c r="BJ34" s="38">
        <f t="shared" si="21"/>
        <v>1.9970347060425426</v>
      </c>
      <c r="BK34" s="32">
        <f t="shared" si="22"/>
        <v>28.003873037005658</v>
      </c>
      <c r="BL34" s="32">
        <f t="shared" si="23"/>
        <v>29.274713304487278</v>
      </c>
      <c r="BM34" s="32">
        <f t="shared" si="24"/>
        <v>48.382704469121606</v>
      </c>
      <c r="BN34" s="32">
        <f t="shared" si="25"/>
        <v>54.056098520378832</v>
      </c>
      <c r="BO34" s="32">
        <f t="shared" si="26"/>
        <v>-5.6733940512572261</v>
      </c>
      <c r="BP34" s="20">
        <v>40</v>
      </c>
      <c r="BQ34" s="20">
        <v>44</v>
      </c>
      <c r="BR34" s="35">
        <v>577</v>
      </c>
      <c r="BS34" s="35">
        <v>601</v>
      </c>
      <c r="BT34" s="20">
        <v>211</v>
      </c>
      <c r="BU34" s="20">
        <v>254</v>
      </c>
      <c r="BV34" s="20">
        <v>238</v>
      </c>
      <c r="BW34" s="20">
        <v>292</v>
      </c>
      <c r="BX34" s="20">
        <v>511</v>
      </c>
      <c r="BY34" s="20">
        <v>538</v>
      </c>
      <c r="BZ34" s="33">
        <f t="shared" si="27"/>
        <v>0.48713060057197333</v>
      </c>
      <c r="CA34" s="23">
        <v>0.27</v>
      </c>
      <c r="CB34" s="39">
        <f t="shared" si="28"/>
        <v>-0.183917860781035</v>
      </c>
      <c r="CC34" s="38">
        <f t="shared" si="29"/>
        <v>1.8664771584494295</v>
      </c>
      <c r="CD34" s="38">
        <f t="shared" si="30"/>
        <v>2.1882835650786414</v>
      </c>
      <c r="CE34" s="32">
        <f t="shared" si="31"/>
        <v>27.433996165140321</v>
      </c>
      <c r="CF34" s="32">
        <f t="shared" si="32"/>
        <v>29.734911972539187</v>
      </c>
      <c r="CG34" s="32">
        <f t="shared" si="33"/>
        <v>49.815631746202016</v>
      </c>
      <c r="CH34" s="32">
        <f t="shared" si="34"/>
        <v>55.366792260555926</v>
      </c>
      <c r="CI34" s="32">
        <f t="shared" si="35"/>
        <v>-0.12223353690331606</v>
      </c>
      <c r="CJ34">
        <v>3728.95</v>
      </c>
      <c r="CK34">
        <v>116</v>
      </c>
      <c r="CL34">
        <v>136</v>
      </c>
      <c r="CM34" s="35">
        <v>1589</v>
      </c>
      <c r="CN34">
        <v>1712</v>
      </c>
      <c r="CO34">
        <v>616</v>
      </c>
      <c r="CP34">
        <v>746</v>
      </c>
      <c r="CQ34">
        <v>775</v>
      </c>
      <c r="CR34">
        <v>847</v>
      </c>
      <c r="CS34" s="20">
        <v>8</v>
      </c>
      <c r="CT34" s="20">
        <v>10</v>
      </c>
      <c r="CU34" s="35">
        <f t="shared" si="36"/>
        <v>2</v>
      </c>
      <c r="CV34" s="38">
        <f t="shared" si="37"/>
        <v>0.35539760106619284</v>
      </c>
      <c r="CW34" s="38">
        <f t="shared" si="38"/>
        <v>0.44424700133274103</v>
      </c>
      <c r="CX34" s="38">
        <f t="shared" si="39"/>
        <v>8.8849400266548209E-2</v>
      </c>
      <c r="CY34" s="40">
        <v>42.96</v>
      </c>
      <c r="CZ34" s="40">
        <v>47.26</v>
      </c>
      <c r="DA34" s="40">
        <v>45.22</v>
      </c>
      <c r="DB34" s="40">
        <v>55.88</v>
      </c>
      <c r="DC34" s="40">
        <v>45.41</v>
      </c>
      <c r="DD34" s="40">
        <v>48.24</v>
      </c>
      <c r="DE34">
        <v>0</v>
      </c>
      <c r="DF34">
        <v>2</v>
      </c>
      <c r="DG34" s="33">
        <f t="shared" si="40"/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 s="1" t="s">
        <v>277</v>
      </c>
      <c r="DN34" t="s">
        <v>278</v>
      </c>
    </row>
    <row r="35" spans="1:118" ht="39" x14ac:dyDescent="0.25">
      <c r="A35" t="s">
        <v>279</v>
      </c>
      <c r="B35" t="s">
        <v>280</v>
      </c>
      <c r="C35" s="1" t="s">
        <v>2</v>
      </c>
      <c r="D35" s="2" t="s">
        <v>142</v>
      </c>
      <c r="E35">
        <v>82</v>
      </c>
      <c r="F35">
        <f>(14/82)</f>
        <v>0.17073170731707318</v>
      </c>
      <c r="G35" t="s">
        <v>538</v>
      </c>
      <c r="H35">
        <f>(23/26)</f>
        <v>0.88461538461538458</v>
      </c>
      <c r="I35">
        <v>3</v>
      </c>
      <c r="J35">
        <v>8</v>
      </c>
      <c r="K35" s="29">
        <f t="shared" si="0"/>
        <v>11</v>
      </c>
      <c r="L35" s="30">
        <f t="shared" si="1"/>
        <v>0.45509394931908298</v>
      </c>
      <c r="M35" s="20">
        <v>2</v>
      </c>
      <c r="N35" s="20">
        <v>6</v>
      </c>
      <c r="O35" s="20">
        <v>1</v>
      </c>
      <c r="P35" s="20">
        <v>65</v>
      </c>
      <c r="Q35" s="20">
        <v>32</v>
      </c>
      <c r="R35" s="20">
        <v>65</v>
      </c>
      <c r="S35" s="20">
        <v>46</v>
      </c>
      <c r="T35" s="31">
        <f t="shared" si="2"/>
        <v>4.6153846153846156E-2</v>
      </c>
      <c r="U35" s="31">
        <f t="shared" si="3"/>
        <v>1.8518518518518517E-2</v>
      </c>
      <c r="V35">
        <v>87015</v>
      </c>
      <c r="W35" s="32">
        <f t="shared" si="4"/>
        <v>17.685975609756099</v>
      </c>
      <c r="X35" s="23">
        <v>1401.43</v>
      </c>
      <c r="Y35" s="32">
        <f t="shared" si="5"/>
        <v>17.09060975609756</v>
      </c>
      <c r="Z35" s="23">
        <v>2588.1</v>
      </c>
      <c r="AA35" s="32">
        <f t="shared" si="6"/>
        <v>31.56219512195122</v>
      </c>
      <c r="AB35" s="33">
        <f t="shared" si="7"/>
        <v>0.35127696746233261</v>
      </c>
      <c r="AC35" s="34">
        <f t="shared" si="8"/>
        <v>89.333333333333329</v>
      </c>
      <c r="AD35" s="20">
        <v>137</v>
      </c>
      <c r="AE35" s="20">
        <v>39</v>
      </c>
      <c r="AF35" s="20">
        <v>117</v>
      </c>
      <c r="AG35" s="20">
        <v>35</v>
      </c>
      <c r="AH35" s="20">
        <v>14</v>
      </c>
      <c r="AI35" s="31">
        <f t="shared" si="9"/>
        <v>4.4444444444444446E-2</v>
      </c>
      <c r="AJ35" s="31">
        <f t="shared" si="10"/>
        <v>0.15555555555555556</v>
      </c>
      <c r="AK35" s="31">
        <f t="shared" si="11"/>
        <v>0.2</v>
      </c>
      <c r="AL35" s="20">
        <v>424</v>
      </c>
      <c r="AM35" s="33">
        <f t="shared" si="12"/>
        <v>0.34083601286173631</v>
      </c>
      <c r="AN35" s="20">
        <v>373</v>
      </c>
      <c r="AO35" s="33">
        <f t="shared" si="13"/>
        <v>0.29983922829581994</v>
      </c>
      <c r="AP35" s="20">
        <v>447</v>
      </c>
      <c r="AQ35" s="33">
        <f t="shared" si="14"/>
        <v>0.35932475884244375</v>
      </c>
      <c r="AR35" s="33">
        <f t="shared" si="15"/>
        <v>0.53199498117942279</v>
      </c>
      <c r="AS35" s="1">
        <v>4</v>
      </c>
      <c r="AT35" s="23">
        <v>2.1800000000000002</v>
      </c>
      <c r="AU35" s="20">
        <v>17.440000000000001</v>
      </c>
      <c r="AV35" s="35">
        <v>3</v>
      </c>
      <c r="AW35" s="36">
        <v>0.53900000000000003</v>
      </c>
      <c r="AX35" s="1">
        <v>4</v>
      </c>
      <c r="AY35" s="36">
        <v>0.79300000000000004</v>
      </c>
      <c r="AZ35" s="20">
        <v>50.41</v>
      </c>
      <c r="BA35" s="20">
        <v>16.88</v>
      </c>
      <c r="BB35" s="36">
        <v>0.09</v>
      </c>
      <c r="BC35" s="36">
        <v>1.889</v>
      </c>
      <c r="BD35" s="20">
        <v>50.84</v>
      </c>
      <c r="BE35" s="33">
        <f t="shared" si="16"/>
        <v>6.7164179104477612E-2</v>
      </c>
      <c r="BF35" s="37">
        <f t="shared" si="17"/>
        <v>0.92227204783258598</v>
      </c>
      <c r="BG35" s="35">
        <f t="shared" si="18"/>
        <v>989.43622693706357</v>
      </c>
      <c r="BH35" s="33">
        <f t="shared" si="19"/>
        <v>-1.0563773062936405E-2</v>
      </c>
      <c r="BI35" s="38">
        <f t="shared" si="20"/>
        <v>1.9266035406691737</v>
      </c>
      <c r="BJ35" s="38">
        <f t="shared" si="21"/>
        <v>2.2262974247732679</v>
      </c>
      <c r="BK35" s="32">
        <f t="shared" si="22"/>
        <v>28.684986049963257</v>
      </c>
      <c r="BL35" s="32">
        <f t="shared" si="23"/>
        <v>28.642172637948384</v>
      </c>
      <c r="BM35" s="32">
        <f t="shared" si="24"/>
        <v>53.645205254632778</v>
      </c>
      <c r="BN35" s="32">
        <f t="shared" si="25"/>
        <v>54.330219846870698</v>
      </c>
      <c r="BO35" s="32">
        <f t="shared" si="26"/>
        <v>-0.68501459223791983</v>
      </c>
      <c r="BP35" s="20">
        <v>45</v>
      </c>
      <c r="BQ35" s="20">
        <v>52</v>
      </c>
      <c r="BR35" s="35">
        <v>625</v>
      </c>
      <c r="BS35" s="35">
        <v>617</v>
      </c>
      <c r="BT35" s="20">
        <v>226</v>
      </c>
      <c r="BU35" s="20">
        <v>232</v>
      </c>
      <c r="BV35" s="20">
        <v>357</v>
      </c>
      <c r="BW35" s="20">
        <v>368</v>
      </c>
      <c r="BX35" s="20">
        <v>565</v>
      </c>
      <c r="BY35" s="20">
        <v>578</v>
      </c>
      <c r="BZ35" s="33">
        <f t="shared" si="27"/>
        <v>0.49431321084864394</v>
      </c>
      <c r="CA35" s="23">
        <v>-0.73</v>
      </c>
      <c r="CB35" s="39">
        <f t="shared" si="28"/>
        <v>-2.6388941405440676</v>
      </c>
      <c r="CC35" s="38">
        <f t="shared" si="29"/>
        <v>2.0175574337190096</v>
      </c>
      <c r="CD35" s="38">
        <f t="shared" si="30"/>
        <v>2.1078958262735923</v>
      </c>
      <c r="CE35" s="32">
        <f t="shared" si="31"/>
        <v>29.841782340530422</v>
      </c>
      <c r="CF35" s="32">
        <f t="shared" si="32"/>
        <v>29.54065436534848</v>
      </c>
      <c r="CG35" s="32">
        <f t="shared" si="33"/>
        <v>55.407547433477276</v>
      </c>
      <c r="CH35" s="32">
        <f t="shared" si="34"/>
        <v>53.977189551363047</v>
      </c>
      <c r="CI35" s="32">
        <f t="shared" si="35"/>
        <v>-2.1153724743521494</v>
      </c>
      <c r="CJ35">
        <v>3985.0166669999999</v>
      </c>
      <c r="CK35">
        <v>134</v>
      </c>
      <c r="CL35">
        <v>140</v>
      </c>
      <c r="CM35" s="35">
        <v>1848</v>
      </c>
      <c r="CN35">
        <v>1822</v>
      </c>
      <c r="CO35">
        <v>682</v>
      </c>
      <c r="CP35">
        <v>689</v>
      </c>
      <c r="CQ35">
        <v>1016</v>
      </c>
      <c r="CR35">
        <v>934</v>
      </c>
      <c r="CS35" s="20">
        <v>10</v>
      </c>
      <c r="CT35" s="20">
        <v>8</v>
      </c>
      <c r="CU35" s="35">
        <f t="shared" si="36"/>
        <v>-2</v>
      </c>
      <c r="CV35" s="38">
        <f t="shared" si="37"/>
        <v>0.41372177210825722</v>
      </c>
      <c r="CW35" s="38">
        <f t="shared" si="38"/>
        <v>0.33097741768660577</v>
      </c>
      <c r="CX35" s="38">
        <f t="shared" si="39"/>
        <v>-8.2744354421651442E-2</v>
      </c>
      <c r="CY35" s="40">
        <v>52.02</v>
      </c>
      <c r="CZ35" s="40">
        <v>54.92</v>
      </c>
      <c r="DA35" s="40">
        <v>50.22</v>
      </c>
      <c r="DB35" s="40">
        <v>61.04</v>
      </c>
      <c r="DC35" s="40">
        <v>55.61</v>
      </c>
      <c r="DD35" s="40">
        <v>59.78</v>
      </c>
      <c r="DE35">
        <v>0</v>
      </c>
      <c r="DF35">
        <v>0</v>
      </c>
      <c r="DG35" s="33" t="str">
        <f t="shared" si="40"/>
        <v xml:space="preserve"> </v>
      </c>
      <c r="DH35">
        <v>0</v>
      </c>
      <c r="DI35">
        <v>0</v>
      </c>
      <c r="DJ35">
        <v>0</v>
      </c>
      <c r="DK35">
        <v>0</v>
      </c>
      <c r="DL35">
        <v>0</v>
      </c>
      <c r="DM35" s="2" t="s">
        <v>281</v>
      </c>
      <c r="DN35" t="s">
        <v>282</v>
      </c>
    </row>
    <row r="36" spans="1:118" x14ac:dyDescent="0.25">
      <c r="A36" t="s">
        <v>283</v>
      </c>
      <c r="B36" t="s">
        <v>284</v>
      </c>
      <c r="C36" s="1" t="s">
        <v>2</v>
      </c>
      <c r="D36" s="2" t="s">
        <v>142</v>
      </c>
      <c r="E36">
        <v>41</v>
      </c>
      <c r="F36">
        <f>(14/41)</f>
        <v>0.34146341463414637</v>
      </c>
      <c r="G36" t="s">
        <v>543</v>
      </c>
      <c r="H36">
        <f>(29/55)</f>
        <v>0.52727272727272723</v>
      </c>
      <c r="I36">
        <v>0</v>
      </c>
      <c r="J36">
        <v>13</v>
      </c>
      <c r="K36" s="29">
        <f t="shared" si="0"/>
        <v>13</v>
      </c>
      <c r="L36" s="30">
        <f t="shared" si="1"/>
        <v>1.3888888888888888</v>
      </c>
      <c r="M36" s="20">
        <v>0</v>
      </c>
      <c r="N36" s="20">
        <v>6</v>
      </c>
      <c r="O36" s="20">
        <v>7</v>
      </c>
      <c r="P36" s="20">
        <v>50</v>
      </c>
      <c r="Q36" s="20">
        <v>20</v>
      </c>
      <c r="R36" s="20">
        <v>42</v>
      </c>
      <c r="S36" s="20">
        <v>21</v>
      </c>
      <c r="T36" s="31">
        <f t="shared" si="2"/>
        <v>0</v>
      </c>
      <c r="U36" s="31">
        <f t="shared" si="3"/>
        <v>0</v>
      </c>
      <c r="V36">
        <v>33696</v>
      </c>
      <c r="W36" s="32">
        <f t="shared" si="4"/>
        <v>13.697560975609756</v>
      </c>
      <c r="X36" s="23">
        <v>556.48</v>
      </c>
      <c r="Y36" s="32">
        <f t="shared" si="5"/>
        <v>13.572682926829268</v>
      </c>
      <c r="Z36" s="23">
        <v>1426.97</v>
      </c>
      <c r="AA36" s="32">
        <f t="shared" si="6"/>
        <v>34.804146341463415</v>
      </c>
      <c r="AB36" s="33">
        <f t="shared" si="7"/>
        <v>0.28056164763417279</v>
      </c>
      <c r="AC36" s="34">
        <f t="shared" si="8"/>
        <v>66.428571428571431</v>
      </c>
      <c r="AD36" s="20">
        <v>36</v>
      </c>
      <c r="AE36" s="20">
        <v>29</v>
      </c>
      <c r="AF36" s="20">
        <v>69</v>
      </c>
      <c r="AG36" s="20">
        <v>12</v>
      </c>
      <c r="AH36" s="20">
        <v>7</v>
      </c>
      <c r="AI36" s="31">
        <f t="shared" si="9"/>
        <v>0</v>
      </c>
      <c r="AJ36" s="31">
        <f t="shared" si="10"/>
        <v>0.4642857142857143</v>
      </c>
      <c r="AK36" s="31">
        <f t="shared" si="11"/>
        <v>0.4642857142857143</v>
      </c>
      <c r="AL36" s="20">
        <v>185</v>
      </c>
      <c r="AM36" s="33">
        <f t="shared" si="12"/>
        <v>0.37678207739307534</v>
      </c>
      <c r="AN36" s="20">
        <v>125</v>
      </c>
      <c r="AO36" s="33">
        <f t="shared" si="13"/>
        <v>0.25458248472505091</v>
      </c>
      <c r="AP36" s="20">
        <v>181</v>
      </c>
      <c r="AQ36" s="33">
        <f t="shared" si="14"/>
        <v>0.36863543788187375</v>
      </c>
      <c r="AR36" s="33">
        <f t="shared" si="15"/>
        <v>0.59677419354838712</v>
      </c>
      <c r="AS36" s="1">
        <v>8</v>
      </c>
      <c r="AT36" s="23">
        <v>10.220000000000001</v>
      </c>
      <c r="AU36" s="20">
        <v>16.77</v>
      </c>
      <c r="AV36" s="35">
        <v>8</v>
      </c>
      <c r="AW36" s="36">
        <v>-0.63700000000000001</v>
      </c>
      <c r="AX36" s="1">
        <v>8</v>
      </c>
      <c r="AY36" s="36">
        <v>5.7000000000000002E-2</v>
      </c>
      <c r="AZ36" s="20">
        <v>49.94</v>
      </c>
      <c r="BA36" s="20">
        <v>16.45</v>
      </c>
      <c r="BB36" s="36">
        <v>-0.86399999999999999</v>
      </c>
      <c r="BC36" s="36">
        <v>1.1200000000000001</v>
      </c>
      <c r="BD36" s="20">
        <v>50.31</v>
      </c>
      <c r="BE36" s="33">
        <f t="shared" si="16"/>
        <v>9.0322580645161285E-2</v>
      </c>
      <c r="BF36" s="37">
        <f t="shared" si="17"/>
        <v>0.93818181818181823</v>
      </c>
      <c r="BG36" s="35">
        <f t="shared" si="18"/>
        <v>1028.5043988269795</v>
      </c>
      <c r="BH36" s="33">
        <f t="shared" si="19"/>
        <v>2.8504398826979513E-2</v>
      </c>
      <c r="BI36" s="38">
        <f t="shared" si="20"/>
        <v>3.0189764232317424</v>
      </c>
      <c r="BJ36" s="38">
        <f t="shared" si="21"/>
        <v>1.8329499712478434</v>
      </c>
      <c r="BK36" s="32">
        <f t="shared" si="22"/>
        <v>33.424381828637145</v>
      </c>
      <c r="BL36" s="32">
        <f t="shared" si="23"/>
        <v>29.650661299597466</v>
      </c>
      <c r="BM36" s="32">
        <f t="shared" si="24"/>
        <v>61.242093156986776</v>
      </c>
      <c r="BN36" s="32">
        <f t="shared" si="25"/>
        <v>52.724266820011501</v>
      </c>
      <c r="BO36" s="32">
        <f t="shared" si="26"/>
        <v>8.5178263369752756</v>
      </c>
      <c r="BP36" s="20">
        <v>28</v>
      </c>
      <c r="BQ36" s="20">
        <v>17</v>
      </c>
      <c r="BR36" s="35">
        <v>282</v>
      </c>
      <c r="BS36" s="35">
        <v>258</v>
      </c>
      <c r="BT36" s="20">
        <v>91</v>
      </c>
      <c r="BU36" s="20">
        <v>97</v>
      </c>
      <c r="BV36" s="20">
        <v>167</v>
      </c>
      <c r="BW36" s="20">
        <v>117</v>
      </c>
      <c r="BX36" s="20">
        <v>252</v>
      </c>
      <c r="BY36" s="20">
        <v>250</v>
      </c>
      <c r="BZ36" s="33">
        <f t="shared" si="27"/>
        <v>0.50199203187250996</v>
      </c>
      <c r="CA36" s="23">
        <v>2.77</v>
      </c>
      <c r="CB36" s="39">
        <f t="shared" si="28"/>
        <v>5.0422456918139833</v>
      </c>
      <c r="CC36" s="38">
        <f t="shared" si="29"/>
        <v>2.4205138549204506</v>
      </c>
      <c r="CD36" s="38">
        <f t="shared" si="30"/>
        <v>2.3600010085474397</v>
      </c>
      <c r="CE36" s="32">
        <f t="shared" si="31"/>
        <v>30.377448879251659</v>
      </c>
      <c r="CF36" s="32">
        <f t="shared" si="32"/>
        <v>30.044628224200096</v>
      </c>
      <c r="CG36" s="32">
        <f t="shared" si="33"/>
        <v>55.338998008118807</v>
      </c>
      <c r="CH36" s="32">
        <f t="shared" si="34"/>
        <v>54.28002319659111</v>
      </c>
      <c r="CI36" s="32">
        <f t="shared" si="35"/>
        <v>7.458851525447578</v>
      </c>
      <c r="CJ36">
        <v>1983.05</v>
      </c>
      <c r="CK36">
        <v>80</v>
      </c>
      <c r="CL36">
        <v>78</v>
      </c>
      <c r="CM36" s="35">
        <v>924</v>
      </c>
      <c r="CN36">
        <v>915</v>
      </c>
      <c r="CO36">
        <v>339</v>
      </c>
      <c r="CP36">
        <v>343</v>
      </c>
      <c r="CQ36">
        <v>486</v>
      </c>
      <c r="CR36">
        <v>458</v>
      </c>
      <c r="CS36" s="20">
        <v>2</v>
      </c>
      <c r="CT36" s="20">
        <v>2</v>
      </c>
      <c r="CU36" s="35">
        <f t="shared" si="36"/>
        <v>0</v>
      </c>
      <c r="CV36" s="38">
        <f t="shared" si="37"/>
        <v>0.21367521367521369</v>
      </c>
      <c r="CW36" s="38">
        <f t="shared" si="38"/>
        <v>0.21367521367521369</v>
      </c>
      <c r="CX36" s="38">
        <f t="shared" si="39"/>
        <v>0</v>
      </c>
      <c r="CY36" s="40">
        <v>23.35</v>
      </c>
      <c r="CZ36" s="40">
        <v>22.43</v>
      </c>
      <c r="DA36" s="40">
        <v>20.18</v>
      </c>
      <c r="DB36" s="40">
        <v>31.68</v>
      </c>
      <c r="DC36" s="40">
        <v>20.52</v>
      </c>
      <c r="DD36" s="40">
        <v>23.09</v>
      </c>
      <c r="DE36">
        <v>0</v>
      </c>
      <c r="DF36">
        <v>0</v>
      </c>
      <c r="DG36" s="33" t="str">
        <f t="shared" si="40"/>
        <v xml:space="preserve"> </v>
      </c>
      <c r="DM36" s="1" t="s">
        <v>285</v>
      </c>
      <c r="DN36" t="s">
        <v>286</v>
      </c>
    </row>
    <row r="37" spans="1:118" x14ac:dyDescent="0.25">
      <c r="A37" t="s">
        <v>287</v>
      </c>
      <c r="B37" t="s">
        <v>288</v>
      </c>
      <c r="C37" s="1" t="s">
        <v>162</v>
      </c>
      <c r="D37" s="2" t="s">
        <v>125</v>
      </c>
      <c r="E37">
        <v>77</v>
      </c>
      <c r="F37">
        <f>(13/77)</f>
        <v>0.16883116883116883</v>
      </c>
      <c r="G37" t="s">
        <v>538</v>
      </c>
      <c r="H37">
        <f>(31/36)</f>
        <v>0.86111111111111116</v>
      </c>
      <c r="I37">
        <v>7</v>
      </c>
      <c r="J37">
        <v>6</v>
      </c>
      <c r="K37" s="29">
        <f t="shared" si="0"/>
        <v>13</v>
      </c>
      <c r="L37" s="30">
        <f t="shared" si="1"/>
        <v>1.4137691447905023</v>
      </c>
      <c r="M37" s="20">
        <v>7</v>
      </c>
      <c r="N37" s="20">
        <v>4</v>
      </c>
      <c r="O37" s="20">
        <v>2</v>
      </c>
      <c r="P37" s="20">
        <v>45</v>
      </c>
      <c r="Q37" s="20">
        <v>11</v>
      </c>
      <c r="R37" s="20">
        <v>20</v>
      </c>
      <c r="S37" s="20">
        <v>50</v>
      </c>
      <c r="T37" s="31">
        <f t="shared" si="2"/>
        <v>0.15555555555555556</v>
      </c>
      <c r="U37" s="31">
        <f t="shared" si="3"/>
        <v>9.2105263157894732E-2</v>
      </c>
      <c r="V37">
        <v>33103</v>
      </c>
      <c r="W37" s="32">
        <f t="shared" si="4"/>
        <v>7.1651515151515159</v>
      </c>
      <c r="X37" s="23">
        <v>548.83000000000004</v>
      </c>
      <c r="Y37" s="32">
        <f t="shared" si="5"/>
        <v>7.127662337662338</v>
      </c>
      <c r="Z37" s="23">
        <v>3082.28</v>
      </c>
      <c r="AA37" s="32">
        <f t="shared" si="6"/>
        <v>40.02961038961039</v>
      </c>
      <c r="AB37" s="33">
        <f t="shared" si="7"/>
        <v>0.15114661907791282</v>
      </c>
      <c r="AC37" s="34">
        <f t="shared" si="8"/>
        <v>46.947368421052637</v>
      </c>
      <c r="AD37" s="20">
        <v>12</v>
      </c>
      <c r="AE37" s="20">
        <v>84</v>
      </c>
      <c r="AF37" s="20">
        <v>35</v>
      </c>
      <c r="AG37" s="20">
        <v>14</v>
      </c>
      <c r="AH37" s="20">
        <v>8</v>
      </c>
      <c r="AI37" s="31">
        <f t="shared" si="9"/>
        <v>0.36842105263157893</v>
      </c>
      <c r="AJ37" s="31">
        <f t="shared" si="10"/>
        <v>0.31578947368421051</v>
      </c>
      <c r="AK37" s="31">
        <f t="shared" si="11"/>
        <v>0.68421052631578938</v>
      </c>
      <c r="AL37" s="20">
        <v>124</v>
      </c>
      <c r="AM37" s="33">
        <f t="shared" si="12"/>
        <v>0.28505747126436781</v>
      </c>
      <c r="AN37" s="20">
        <v>146</v>
      </c>
      <c r="AO37" s="33">
        <f t="shared" si="13"/>
        <v>0.335632183908046</v>
      </c>
      <c r="AP37" s="20">
        <v>165</v>
      </c>
      <c r="AQ37" s="33">
        <f t="shared" si="14"/>
        <v>0.37931034482758619</v>
      </c>
      <c r="AR37" s="33">
        <f t="shared" si="15"/>
        <v>0.45925925925925926</v>
      </c>
      <c r="AS37" s="1">
        <v>2</v>
      </c>
      <c r="AT37" s="23">
        <v>-6.14</v>
      </c>
      <c r="AU37" s="20">
        <v>16.45</v>
      </c>
      <c r="AV37" s="35">
        <v>14</v>
      </c>
      <c r="AW37" s="36">
        <v>-1.214</v>
      </c>
      <c r="AX37" s="1">
        <v>15</v>
      </c>
      <c r="AY37" s="36">
        <v>-1.141</v>
      </c>
      <c r="AZ37" s="20">
        <v>49.75</v>
      </c>
      <c r="BA37" s="20">
        <v>15.95</v>
      </c>
      <c r="BB37" s="36">
        <v>-4.9420000000000002</v>
      </c>
      <c r="BC37" s="36">
        <v>-0.85099999999999998</v>
      </c>
      <c r="BD37" s="20">
        <v>50.08</v>
      </c>
      <c r="BE37" s="33">
        <f t="shared" si="16"/>
        <v>8.520179372197309E-2</v>
      </c>
      <c r="BF37" s="37">
        <f t="shared" si="17"/>
        <v>0.9543568464730291</v>
      </c>
      <c r="BG37" s="35">
        <f t="shared" si="18"/>
        <v>1039.5586401950022</v>
      </c>
      <c r="BH37" s="33">
        <f t="shared" si="19"/>
        <v>3.9558640195002187E-2</v>
      </c>
      <c r="BI37" s="38">
        <f t="shared" si="20"/>
        <v>2.0771459286117739</v>
      </c>
      <c r="BJ37" s="38">
        <f t="shared" si="21"/>
        <v>1.2025581691962901</v>
      </c>
      <c r="BK37" s="32">
        <f t="shared" si="22"/>
        <v>24.379133793706611</v>
      </c>
      <c r="BL37" s="32">
        <f t="shared" si="23"/>
        <v>26.34695625239145</v>
      </c>
      <c r="BM37" s="32">
        <f t="shared" si="24"/>
        <v>46.353151249020641</v>
      </c>
      <c r="BN37" s="32">
        <f t="shared" si="25"/>
        <v>51.272707395732738</v>
      </c>
      <c r="BO37" s="32">
        <f t="shared" si="26"/>
        <v>-4.9195561467120967</v>
      </c>
      <c r="BP37" s="20">
        <v>19</v>
      </c>
      <c r="BQ37" s="20">
        <v>11</v>
      </c>
      <c r="BR37" s="35">
        <v>204</v>
      </c>
      <c r="BS37" s="35">
        <v>230</v>
      </c>
      <c r="BT37" s="20">
        <v>85</v>
      </c>
      <c r="BU37" s="20">
        <v>104</v>
      </c>
      <c r="BV37" s="20">
        <v>116</v>
      </c>
      <c r="BW37" s="20">
        <v>124</v>
      </c>
      <c r="BX37" s="20">
        <v>198</v>
      </c>
      <c r="BY37" s="20">
        <v>209</v>
      </c>
      <c r="BZ37" s="33">
        <f t="shared" si="27"/>
        <v>0.48648648648648651</v>
      </c>
      <c r="CA37" s="23">
        <v>-2.94</v>
      </c>
      <c r="CB37" s="39">
        <f t="shared" si="28"/>
        <v>-4.3217783689343197</v>
      </c>
      <c r="CC37" s="38">
        <f t="shared" si="29"/>
        <v>2.2652012361913019</v>
      </c>
      <c r="CD37" s="38">
        <f t="shared" si="30"/>
        <v>2.1659953426354783</v>
      </c>
      <c r="CE37" s="32">
        <f t="shared" si="31"/>
        <v>29.315341545745827</v>
      </c>
      <c r="CF37" s="32">
        <f t="shared" si="32"/>
        <v>28.224076716631771</v>
      </c>
      <c r="CG37" s="32">
        <f t="shared" si="33"/>
        <v>54.811256189592456</v>
      </c>
      <c r="CH37" s="32">
        <f t="shared" si="34"/>
        <v>52.198834325955772</v>
      </c>
      <c r="CI37" s="32">
        <f t="shared" si="35"/>
        <v>-7.5319780103487801</v>
      </c>
      <c r="CJ37">
        <v>3628.8166670000001</v>
      </c>
      <c r="CK37">
        <v>137</v>
      </c>
      <c r="CL37">
        <v>131</v>
      </c>
      <c r="CM37" s="35">
        <v>1636</v>
      </c>
      <c r="CN37">
        <v>1576</v>
      </c>
      <c r="CO37">
        <v>671</v>
      </c>
      <c r="CP37">
        <v>642</v>
      </c>
      <c r="CQ37">
        <v>871</v>
      </c>
      <c r="CR37">
        <v>808</v>
      </c>
      <c r="CS37" s="20">
        <v>1</v>
      </c>
      <c r="CT37" s="20">
        <v>6</v>
      </c>
      <c r="CU37" s="35">
        <f t="shared" si="36"/>
        <v>5</v>
      </c>
      <c r="CV37" s="38">
        <f t="shared" si="37"/>
        <v>0.10875147267619248</v>
      </c>
      <c r="CW37" s="38">
        <f t="shared" si="38"/>
        <v>0.65250883605715493</v>
      </c>
      <c r="CX37" s="38">
        <f t="shared" si="39"/>
        <v>0.54375736338096248</v>
      </c>
      <c r="CY37" s="40">
        <v>19.399999999999999</v>
      </c>
      <c r="CZ37" s="40">
        <v>17.420000000000002</v>
      </c>
      <c r="DA37" s="40">
        <v>13.78</v>
      </c>
      <c r="DB37" s="40">
        <v>25.33</v>
      </c>
      <c r="DC37" s="40">
        <v>19.239999999999998</v>
      </c>
      <c r="DD37" s="40">
        <v>21.87</v>
      </c>
      <c r="DE37">
        <v>201</v>
      </c>
      <c r="DF37">
        <v>224</v>
      </c>
      <c r="DG37" s="33">
        <f t="shared" si="40"/>
        <v>0.47294117647058825</v>
      </c>
      <c r="DH37">
        <v>0.14000000000000001</v>
      </c>
      <c r="DI37">
        <v>0.31</v>
      </c>
      <c r="DJ37">
        <v>119</v>
      </c>
      <c r="DK37">
        <v>163</v>
      </c>
      <c r="DL37">
        <v>141</v>
      </c>
      <c r="DM37" s="1" t="s">
        <v>289</v>
      </c>
      <c r="DN37" t="s">
        <v>290</v>
      </c>
    </row>
    <row r="38" spans="1:118" x14ac:dyDescent="0.25">
      <c r="A38" t="s">
        <v>275</v>
      </c>
      <c r="B38" t="s">
        <v>291</v>
      </c>
      <c r="C38" s="1" t="s">
        <v>196</v>
      </c>
      <c r="D38" s="2" t="s">
        <v>163</v>
      </c>
      <c r="E38">
        <v>55</v>
      </c>
      <c r="F38">
        <f>(13/55)</f>
        <v>0.23636363636363636</v>
      </c>
      <c r="G38" t="s">
        <v>541</v>
      </c>
      <c r="H38">
        <f>(52/50)</f>
        <v>1.04</v>
      </c>
      <c r="I38">
        <v>6</v>
      </c>
      <c r="J38">
        <v>6</v>
      </c>
      <c r="K38" s="29">
        <f t="shared" si="0"/>
        <v>12</v>
      </c>
      <c r="L38" s="30">
        <f t="shared" si="1"/>
        <v>1.2290534581353665</v>
      </c>
      <c r="M38" s="20">
        <v>6</v>
      </c>
      <c r="N38" s="20">
        <v>4</v>
      </c>
      <c r="O38" s="20">
        <v>1</v>
      </c>
      <c r="P38" s="20">
        <v>81</v>
      </c>
      <c r="Q38" s="20">
        <v>40</v>
      </c>
      <c r="R38" s="20">
        <v>35</v>
      </c>
      <c r="S38" s="20">
        <v>84</v>
      </c>
      <c r="T38" s="31">
        <f t="shared" si="2"/>
        <v>7.407407407407407E-2</v>
      </c>
      <c r="U38" s="31">
        <f t="shared" si="3"/>
        <v>3.8461538461538464E-2</v>
      </c>
      <c r="V38">
        <v>35149</v>
      </c>
      <c r="W38" s="32">
        <f t="shared" si="4"/>
        <v>10.651212121212122</v>
      </c>
      <c r="X38" s="23">
        <v>598.12</v>
      </c>
      <c r="Y38" s="32">
        <f t="shared" si="5"/>
        <v>10.874909090909091</v>
      </c>
      <c r="Z38" s="23">
        <v>2058.9699999999998</v>
      </c>
      <c r="AA38" s="32">
        <f t="shared" si="6"/>
        <v>37.435818181818178</v>
      </c>
      <c r="AB38" s="33">
        <f t="shared" si="7"/>
        <v>0.22510340259456774</v>
      </c>
      <c r="AC38" s="34">
        <f t="shared" si="8"/>
        <v>51</v>
      </c>
      <c r="AD38" s="20">
        <v>22</v>
      </c>
      <c r="AE38" s="20">
        <v>127</v>
      </c>
      <c r="AF38" s="20">
        <v>57</v>
      </c>
      <c r="AG38" s="20">
        <v>12</v>
      </c>
      <c r="AH38" s="20">
        <v>20</v>
      </c>
      <c r="AI38" s="31">
        <f t="shared" si="9"/>
        <v>0.3</v>
      </c>
      <c r="AJ38" s="31">
        <f t="shared" si="10"/>
        <v>0.25</v>
      </c>
      <c r="AK38" s="31">
        <f t="shared" si="11"/>
        <v>0.55000000000000004</v>
      </c>
      <c r="AL38" s="20">
        <v>182</v>
      </c>
      <c r="AM38" s="33">
        <f t="shared" si="12"/>
        <v>0.33517495395948432</v>
      </c>
      <c r="AN38" s="20">
        <v>167</v>
      </c>
      <c r="AO38" s="33">
        <f t="shared" si="13"/>
        <v>0.30755064456721914</v>
      </c>
      <c r="AP38" s="20">
        <v>194</v>
      </c>
      <c r="AQ38" s="33">
        <f t="shared" si="14"/>
        <v>0.35727440147329648</v>
      </c>
      <c r="AR38" s="33">
        <f t="shared" si="15"/>
        <v>0.52148997134670483</v>
      </c>
      <c r="AS38" s="1">
        <v>12</v>
      </c>
      <c r="AT38" s="23">
        <v>0.03</v>
      </c>
      <c r="AU38" s="20">
        <v>17.239999999999998</v>
      </c>
      <c r="AV38" s="35">
        <v>8</v>
      </c>
      <c r="AW38" s="36">
        <v>-0.20800000000000002</v>
      </c>
      <c r="AX38" s="1">
        <v>10</v>
      </c>
      <c r="AY38" s="36">
        <v>0.33</v>
      </c>
      <c r="AZ38" s="20">
        <v>49.98</v>
      </c>
      <c r="BA38" s="20">
        <v>17.39</v>
      </c>
      <c r="BB38" s="36">
        <v>-0.877</v>
      </c>
      <c r="BC38" s="36">
        <v>-6.1779999999999999</v>
      </c>
      <c r="BD38" s="20">
        <v>47.79</v>
      </c>
      <c r="BE38" s="33">
        <f t="shared" si="16"/>
        <v>7.8431372549019607E-2</v>
      </c>
      <c r="BF38" s="37">
        <f t="shared" si="17"/>
        <v>0.90262172284644193</v>
      </c>
      <c r="BG38" s="35">
        <f t="shared" si="18"/>
        <v>981.05309539546147</v>
      </c>
      <c r="BH38" s="33">
        <f t="shared" si="19"/>
        <v>-1.8946904604538461E-2</v>
      </c>
      <c r="BI38" s="38">
        <f t="shared" si="20"/>
        <v>2.0062863639403465</v>
      </c>
      <c r="BJ38" s="38">
        <f t="shared" si="21"/>
        <v>2.6081722731224501</v>
      </c>
      <c r="BK38" s="32">
        <f t="shared" si="22"/>
        <v>25.580151140239419</v>
      </c>
      <c r="BL38" s="32">
        <f t="shared" si="23"/>
        <v>26.783922958603625</v>
      </c>
      <c r="BM38" s="32">
        <f t="shared" si="24"/>
        <v>49.454958871129541</v>
      </c>
      <c r="BN38" s="32">
        <f t="shared" si="25"/>
        <v>47.448672507189194</v>
      </c>
      <c r="BO38" s="32">
        <f t="shared" si="26"/>
        <v>2.0062863639403474</v>
      </c>
      <c r="BP38" s="20">
        <v>20</v>
      </c>
      <c r="BQ38" s="20">
        <v>26</v>
      </c>
      <c r="BR38" s="35">
        <v>235</v>
      </c>
      <c r="BS38" s="35">
        <v>241</v>
      </c>
      <c r="BT38" s="20">
        <v>109</v>
      </c>
      <c r="BU38" s="20">
        <v>87</v>
      </c>
      <c r="BV38" s="20">
        <v>129</v>
      </c>
      <c r="BW38" s="20">
        <v>119</v>
      </c>
      <c r="BX38" s="20">
        <v>236</v>
      </c>
      <c r="BY38" s="20">
        <v>247</v>
      </c>
      <c r="BZ38" s="33">
        <f t="shared" si="27"/>
        <v>0.48861283643892339</v>
      </c>
      <c r="CA38" s="23">
        <v>2.83</v>
      </c>
      <c r="CB38" s="39">
        <f t="shared" si="28"/>
        <v>7.9085270516194299</v>
      </c>
      <c r="CC38" s="38">
        <f t="shared" si="29"/>
        <v>1.7866453908711912</v>
      </c>
      <c r="CD38" s="38">
        <f t="shared" si="30"/>
        <v>2.6234286752032685</v>
      </c>
      <c r="CE38" s="32">
        <f t="shared" si="31"/>
        <v>27.523385325192908</v>
      </c>
      <c r="CF38" s="32">
        <f t="shared" si="32"/>
        <v>30.689592346989954</v>
      </c>
      <c r="CG38" s="32">
        <f t="shared" si="33"/>
        <v>50.659312348752763</v>
      </c>
      <c r="CH38" s="32">
        <f t="shared" si="34"/>
        <v>54.323066188260775</v>
      </c>
      <c r="CI38" s="32">
        <f t="shared" si="35"/>
        <v>5.6700402034483588</v>
      </c>
      <c r="CJ38">
        <v>2653.0166669999999</v>
      </c>
      <c r="CK38">
        <v>79</v>
      </c>
      <c r="CL38">
        <v>116</v>
      </c>
      <c r="CM38" s="35">
        <v>1138</v>
      </c>
      <c r="CN38">
        <v>1241</v>
      </c>
      <c r="CO38">
        <v>448</v>
      </c>
      <c r="CP38">
        <v>480</v>
      </c>
      <c r="CQ38">
        <v>575</v>
      </c>
      <c r="CR38">
        <v>565</v>
      </c>
      <c r="CS38" s="20">
        <v>7</v>
      </c>
      <c r="CT38" s="20">
        <v>9</v>
      </c>
      <c r="CU38" s="35">
        <f t="shared" si="36"/>
        <v>2</v>
      </c>
      <c r="CV38" s="38">
        <f t="shared" si="37"/>
        <v>0.71694785057896371</v>
      </c>
      <c r="CW38" s="38">
        <f t="shared" si="38"/>
        <v>0.92179009360152486</v>
      </c>
      <c r="CX38" s="38">
        <f t="shared" si="39"/>
        <v>0.20484224302256107</v>
      </c>
      <c r="CY38" s="40">
        <v>20.66</v>
      </c>
      <c r="CZ38" s="40">
        <v>21.53</v>
      </c>
      <c r="DA38" s="40">
        <v>14.27</v>
      </c>
      <c r="DB38" s="40">
        <v>35.369999999999997</v>
      </c>
      <c r="DC38" s="40">
        <v>19.46</v>
      </c>
      <c r="DD38" s="40">
        <v>27.02</v>
      </c>
      <c r="DE38">
        <v>2</v>
      </c>
      <c r="DF38">
        <v>3</v>
      </c>
      <c r="DG38" s="33">
        <f t="shared" si="40"/>
        <v>0.4</v>
      </c>
      <c r="DH38">
        <v>0</v>
      </c>
      <c r="DI38">
        <v>-1</v>
      </c>
      <c r="DJ38">
        <v>2</v>
      </c>
      <c r="DK38">
        <v>1</v>
      </c>
      <c r="DL38">
        <v>2</v>
      </c>
      <c r="DM38" s="1" t="s">
        <v>292</v>
      </c>
      <c r="DN38" t="s">
        <v>293</v>
      </c>
    </row>
    <row r="39" spans="1:118" x14ac:dyDescent="0.25">
      <c r="A39" t="s">
        <v>208</v>
      </c>
      <c r="B39" t="s">
        <v>294</v>
      </c>
      <c r="C39" s="1" t="s">
        <v>295</v>
      </c>
      <c r="D39" s="2" t="s">
        <v>125</v>
      </c>
      <c r="E39">
        <v>22</v>
      </c>
      <c r="F39">
        <f>(13/22)</f>
        <v>0.59090909090909094</v>
      </c>
      <c r="G39" t="s">
        <v>544</v>
      </c>
      <c r="H39">
        <f>(45/38)</f>
        <v>1.1842105263157894</v>
      </c>
      <c r="I39">
        <v>5</v>
      </c>
      <c r="J39">
        <v>5</v>
      </c>
      <c r="K39" s="29">
        <f t="shared" si="0"/>
        <v>10</v>
      </c>
      <c r="L39" s="30">
        <f t="shared" si="1"/>
        <v>2.0036734012355986</v>
      </c>
      <c r="M39" s="20">
        <v>4</v>
      </c>
      <c r="N39" s="20">
        <v>4</v>
      </c>
      <c r="O39" s="20">
        <v>0</v>
      </c>
      <c r="P39" s="20">
        <v>22</v>
      </c>
      <c r="Q39" s="20">
        <v>15</v>
      </c>
      <c r="R39" s="20">
        <v>14</v>
      </c>
      <c r="S39" s="20">
        <v>31</v>
      </c>
      <c r="T39" s="31">
        <f t="shared" si="2"/>
        <v>0.22727272727272727</v>
      </c>
      <c r="U39" s="31">
        <f t="shared" si="3"/>
        <v>9.8039215686274508E-2</v>
      </c>
      <c r="V39">
        <v>17967</v>
      </c>
      <c r="W39" s="32">
        <f t="shared" si="4"/>
        <v>13.611363636363636</v>
      </c>
      <c r="X39" s="23">
        <v>283.88</v>
      </c>
      <c r="Y39" s="32">
        <f t="shared" si="5"/>
        <v>12.903636363636364</v>
      </c>
      <c r="Z39" s="23">
        <v>763.17</v>
      </c>
      <c r="AA39" s="32">
        <f t="shared" si="6"/>
        <v>34.689545454545453</v>
      </c>
      <c r="AB39" s="33">
        <f t="shared" si="7"/>
        <v>0.27112363306432358</v>
      </c>
      <c r="AC39" s="34">
        <f t="shared" si="8"/>
        <v>59.111111111111114</v>
      </c>
      <c r="AD39" s="20">
        <v>5</v>
      </c>
      <c r="AE39" s="20">
        <v>4</v>
      </c>
      <c r="AF39" s="20">
        <v>17</v>
      </c>
      <c r="AG39" s="20">
        <v>7</v>
      </c>
      <c r="AH39" s="20">
        <v>15</v>
      </c>
      <c r="AI39" s="31">
        <f t="shared" si="9"/>
        <v>0.44444444444444442</v>
      </c>
      <c r="AJ39" s="31">
        <f t="shared" si="10"/>
        <v>0.44444444444444442</v>
      </c>
      <c r="AK39" s="31">
        <f t="shared" si="11"/>
        <v>0.88888888888888884</v>
      </c>
      <c r="AL39" s="20">
        <v>121</v>
      </c>
      <c r="AM39" s="33">
        <f t="shared" si="12"/>
        <v>0.43840579710144928</v>
      </c>
      <c r="AN39" s="20">
        <v>75</v>
      </c>
      <c r="AO39" s="33">
        <f t="shared" si="13"/>
        <v>0.27173913043478259</v>
      </c>
      <c r="AP39" s="20">
        <v>80</v>
      </c>
      <c r="AQ39" s="33">
        <f t="shared" si="14"/>
        <v>0.28985507246376813</v>
      </c>
      <c r="AR39" s="33">
        <f t="shared" si="15"/>
        <v>0.61734693877551017</v>
      </c>
      <c r="AS39" s="1">
        <v>14</v>
      </c>
      <c r="AT39" s="23">
        <v>15.45</v>
      </c>
      <c r="AU39" s="20">
        <v>17.12</v>
      </c>
      <c r="AV39" s="35">
        <v>9</v>
      </c>
      <c r="AW39" s="36">
        <v>-0.189</v>
      </c>
      <c r="AX39" s="1">
        <v>11</v>
      </c>
      <c r="AY39" s="36">
        <v>-1.41</v>
      </c>
      <c r="AZ39" s="20">
        <v>49.34</v>
      </c>
      <c r="BA39" s="20">
        <v>17.54</v>
      </c>
      <c r="BB39" s="36">
        <v>5.1760000000000002</v>
      </c>
      <c r="BC39" s="36">
        <v>8.4580000000000002</v>
      </c>
      <c r="BD39" s="20">
        <v>52.63</v>
      </c>
      <c r="BE39" s="33">
        <f t="shared" si="16"/>
        <v>6.7669172932330823E-2</v>
      </c>
      <c r="BF39" s="37">
        <f t="shared" si="17"/>
        <v>0.94326241134751776</v>
      </c>
      <c r="BG39" s="35">
        <f t="shared" si="18"/>
        <v>1010.9315842798486</v>
      </c>
      <c r="BH39" s="33">
        <f t="shared" si="19"/>
        <v>1.0931584279848583E-2</v>
      </c>
      <c r="BI39" s="38">
        <f t="shared" si="20"/>
        <v>1.9022122023390167</v>
      </c>
      <c r="BJ39" s="38">
        <f t="shared" si="21"/>
        <v>1.6908552909680146</v>
      </c>
      <c r="BK39" s="32">
        <f t="shared" si="22"/>
        <v>28.110469212343244</v>
      </c>
      <c r="BL39" s="32">
        <f t="shared" si="23"/>
        <v>29.801324503311257</v>
      </c>
      <c r="BM39" s="32">
        <f t="shared" si="24"/>
        <v>60.025362829364518</v>
      </c>
      <c r="BN39" s="32">
        <f t="shared" si="25"/>
        <v>51.35972946315345</v>
      </c>
      <c r="BO39" s="32">
        <f t="shared" si="26"/>
        <v>8.6656333662110683</v>
      </c>
      <c r="BP39" s="20">
        <v>9</v>
      </c>
      <c r="BQ39" s="20">
        <v>8</v>
      </c>
      <c r="BR39" s="35">
        <v>124</v>
      </c>
      <c r="BS39" s="35">
        <v>133</v>
      </c>
      <c r="BT39" s="20">
        <v>69</v>
      </c>
      <c r="BU39" s="20">
        <v>55</v>
      </c>
      <c r="BV39" s="20">
        <v>82</v>
      </c>
      <c r="BW39" s="20">
        <v>47</v>
      </c>
      <c r="BX39" s="20">
        <v>136</v>
      </c>
      <c r="BY39" s="20">
        <v>128</v>
      </c>
      <c r="BZ39" s="33">
        <f t="shared" si="27"/>
        <v>0.51515151515151514</v>
      </c>
      <c r="CA39" s="23">
        <v>2.36</v>
      </c>
      <c r="CB39" s="39">
        <f t="shared" si="28"/>
        <v>-4.1086931644011759</v>
      </c>
      <c r="CC39" s="38">
        <f t="shared" si="29"/>
        <v>1.6124130203591416</v>
      </c>
      <c r="CD39" s="38">
        <f t="shared" si="30"/>
        <v>2.7065504270314165</v>
      </c>
      <c r="CE39" s="32">
        <f t="shared" si="31"/>
        <v>27.986883139090814</v>
      </c>
      <c r="CF39" s="32">
        <f t="shared" si="32"/>
        <v>30.46308884892807</v>
      </c>
      <c r="CG39" s="32">
        <f t="shared" si="33"/>
        <v>57.989282553630559</v>
      </c>
      <c r="CH39" s="32">
        <f t="shared" si="34"/>
        <v>55.397904485196229</v>
      </c>
      <c r="CI39" s="32">
        <f t="shared" si="35"/>
        <v>6.0742552977767375</v>
      </c>
      <c r="CJ39">
        <v>1041.916667</v>
      </c>
      <c r="CK39">
        <v>28</v>
      </c>
      <c r="CL39">
        <v>47</v>
      </c>
      <c r="CM39" s="35">
        <v>458</v>
      </c>
      <c r="CN39">
        <v>482</v>
      </c>
      <c r="CO39">
        <v>240</v>
      </c>
      <c r="CP39">
        <v>217</v>
      </c>
      <c r="CQ39">
        <v>281</v>
      </c>
      <c r="CR39">
        <v>216</v>
      </c>
      <c r="CS39" s="20">
        <v>2</v>
      </c>
      <c r="CT39" s="20">
        <v>3</v>
      </c>
      <c r="CU39" s="35">
        <f t="shared" si="36"/>
        <v>1</v>
      </c>
      <c r="CV39" s="38">
        <f t="shared" si="37"/>
        <v>0.40073468024711972</v>
      </c>
      <c r="CW39" s="38">
        <f t="shared" si="38"/>
        <v>0.60110202037067961</v>
      </c>
      <c r="CX39" s="38">
        <f t="shared" si="39"/>
        <v>0.20036734012355986</v>
      </c>
      <c r="CY39" s="40">
        <v>9.83</v>
      </c>
      <c r="CZ39" s="40">
        <v>11.61</v>
      </c>
      <c r="DA39" s="40">
        <v>17.489999999999998</v>
      </c>
      <c r="DB39" s="40">
        <v>27.54</v>
      </c>
      <c r="DC39" s="40">
        <v>10.27</v>
      </c>
      <c r="DD39" s="40">
        <v>16.78</v>
      </c>
      <c r="DE39">
        <v>131</v>
      </c>
      <c r="DF39">
        <v>132</v>
      </c>
      <c r="DG39" s="33">
        <f t="shared" si="40"/>
        <v>0.49809885931558934</v>
      </c>
      <c r="DH39">
        <v>0.71</v>
      </c>
      <c r="DI39">
        <v>-8.15</v>
      </c>
      <c r="DJ39">
        <v>109</v>
      </c>
      <c r="DK39">
        <v>75</v>
      </c>
      <c r="DL39">
        <v>67</v>
      </c>
      <c r="DM39" s="1" t="s">
        <v>296</v>
      </c>
      <c r="DN39" t="s">
        <v>297</v>
      </c>
    </row>
    <row r="40" spans="1:118" x14ac:dyDescent="0.25">
      <c r="A40" t="s">
        <v>298</v>
      </c>
      <c r="B40" t="s">
        <v>299</v>
      </c>
      <c r="C40" s="1" t="s">
        <v>300</v>
      </c>
      <c r="D40" s="2" t="s">
        <v>142</v>
      </c>
      <c r="E40">
        <v>64</v>
      </c>
      <c r="F40">
        <f>(13/64)</f>
        <v>0.203125</v>
      </c>
      <c r="G40" t="s">
        <v>544</v>
      </c>
      <c r="H40">
        <f>(61/75)</f>
        <v>0.81333333333333335</v>
      </c>
      <c r="I40">
        <v>5</v>
      </c>
      <c r="J40">
        <v>6</v>
      </c>
      <c r="K40" s="29">
        <f t="shared" si="0"/>
        <v>11</v>
      </c>
      <c r="L40" s="30">
        <f t="shared" si="1"/>
        <v>0.77968103957471946</v>
      </c>
      <c r="M40" s="20">
        <v>5</v>
      </c>
      <c r="N40" s="20">
        <v>2</v>
      </c>
      <c r="O40" s="20">
        <v>2</v>
      </c>
      <c r="P40" s="20">
        <v>71</v>
      </c>
      <c r="Q40" s="20">
        <v>20</v>
      </c>
      <c r="R40" s="20">
        <v>64</v>
      </c>
      <c r="S40" s="20">
        <v>46</v>
      </c>
      <c r="T40" s="31">
        <f t="shared" si="2"/>
        <v>7.0422535211267609E-2</v>
      </c>
      <c r="U40" s="31">
        <f t="shared" si="3"/>
        <v>3.2258064516129031E-2</v>
      </c>
      <c r="V40">
        <v>50790</v>
      </c>
      <c r="W40" s="32">
        <f t="shared" si="4"/>
        <v>13.2265625</v>
      </c>
      <c r="X40" s="23">
        <v>828.27</v>
      </c>
      <c r="Y40" s="32">
        <f t="shared" si="5"/>
        <v>12.94171875</v>
      </c>
      <c r="Z40" s="23">
        <v>2261.62</v>
      </c>
      <c r="AA40" s="32">
        <f t="shared" si="6"/>
        <v>35.337812499999998</v>
      </c>
      <c r="AB40" s="33">
        <f t="shared" si="7"/>
        <v>0.26805808621018873</v>
      </c>
      <c r="AC40" s="34">
        <f t="shared" si="8"/>
        <v>24.125</v>
      </c>
      <c r="AD40" s="20">
        <v>66</v>
      </c>
      <c r="AE40" s="20">
        <v>55</v>
      </c>
      <c r="AF40" s="20">
        <v>92</v>
      </c>
      <c r="AG40" s="20">
        <v>26</v>
      </c>
      <c r="AH40" s="20">
        <v>5</v>
      </c>
      <c r="AI40" s="31">
        <f t="shared" si="9"/>
        <v>0.15625</v>
      </c>
      <c r="AJ40" s="31">
        <f t="shared" si="10"/>
        <v>0.125</v>
      </c>
      <c r="AK40" s="31">
        <f t="shared" si="11"/>
        <v>0.28125</v>
      </c>
      <c r="AL40" s="20">
        <v>223</v>
      </c>
      <c r="AM40" s="33">
        <f t="shared" si="12"/>
        <v>0.31857142857142856</v>
      </c>
      <c r="AN40" s="20">
        <v>231</v>
      </c>
      <c r="AO40" s="33">
        <f t="shared" si="13"/>
        <v>0.33</v>
      </c>
      <c r="AP40" s="20">
        <v>246</v>
      </c>
      <c r="AQ40" s="33">
        <f t="shared" si="14"/>
        <v>0.35142857142857142</v>
      </c>
      <c r="AR40" s="33">
        <f t="shared" si="15"/>
        <v>0.49118942731277532</v>
      </c>
      <c r="AS40" s="1">
        <v>4</v>
      </c>
      <c r="AT40" s="23">
        <v>0.02</v>
      </c>
      <c r="AU40" s="20">
        <v>16.989999999999998</v>
      </c>
      <c r="AV40" s="35">
        <v>8</v>
      </c>
      <c r="AW40" s="36">
        <v>-0.3</v>
      </c>
      <c r="AX40" s="1">
        <v>8</v>
      </c>
      <c r="AY40" s="36">
        <v>-0.20200000000000001</v>
      </c>
      <c r="AZ40" s="20">
        <v>50.11</v>
      </c>
      <c r="BA40" s="20">
        <v>15.88</v>
      </c>
      <c r="BB40" s="36">
        <v>-1.7330000000000001</v>
      </c>
      <c r="BC40" s="36">
        <v>-6.9660000000000002</v>
      </c>
      <c r="BD40" s="20">
        <v>47.77</v>
      </c>
      <c r="BE40" s="33">
        <f t="shared" si="16"/>
        <v>8.2901554404145081E-2</v>
      </c>
      <c r="BF40" s="37">
        <f t="shared" si="17"/>
        <v>0.93707865168539328</v>
      </c>
      <c r="BG40" s="35">
        <f t="shared" si="18"/>
        <v>1019.9802060895383</v>
      </c>
      <c r="BH40" s="33">
        <f t="shared" si="19"/>
        <v>1.9980206089538363E-2</v>
      </c>
      <c r="BI40" s="38">
        <f t="shared" si="20"/>
        <v>2.3180846825310586</v>
      </c>
      <c r="BJ40" s="38">
        <f t="shared" si="21"/>
        <v>2.0283240972146763</v>
      </c>
      <c r="BK40" s="32">
        <f t="shared" si="22"/>
        <v>27.961896483030895</v>
      </c>
      <c r="BL40" s="32">
        <f t="shared" si="23"/>
        <v>32.235865116447535</v>
      </c>
      <c r="BM40" s="32">
        <f t="shared" si="24"/>
        <v>52.012025064290633</v>
      </c>
      <c r="BN40" s="32">
        <f t="shared" si="25"/>
        <v>61.646564526060345</v>
      </c>
      <c r="BO40" s="32">
        <f t="shared" si="26"/>
        <v>-9.6345394617697124</v>
      </c>
      <c r="BP40" s="20">
        <v>32</v>
      </c>
      <c r="BQ40" s="20">
        <v>28</v>
      </c>
      <c r="BR40" s="35">
        <v>354</v>
      </c>
      <c r="BS40" s="35">
        <v>417</v>
      </c>
      <c r="BT40" s="20">
        <v>133</v>
      </c>
      <c r="BU40" s="20">
        <v>179</v>
      </c>
      <c r="BV40" s="20">
        <v>199</v>
      </c>
      <c r="BW40" s="20">
        <v>227</v>
      </c>
      <c r="BX40" s="20">
        <v>347</v>
      </c>
      <c r="BY40" s="20">
        <v>407</v>
      </c>
      <c r="BZ40" s="33">
        <f t="shared" si="27"/>
        <v>0.46021220159151194</v>
      </c>
      <c r="CA40" s="23">
        <v>0.01</v>
      </c>
      <c r="CB40" s="39">
        <f t="shared" si="28"/>
        <v>-2.749085717276321</v>
      </c>
      <c r="CC40" s="38">
        <f t="shared" si="29"/>
        <v>2.2419339116872994</v>
      </c>
      <c r="CD40" s="38">
        <f t="shared" si="30"/>
        <v>2.1054683692367679</v>
      </c>
      <c r="CE40" s="32">
        <f t="shared" si="31"/>
        <v>27.624524807486111</v>
      </c>
      <c r="CF40" s="32">
        <f t="shared" si="32"/>
        <v>31.835461545959649</v>
      </c>
      <c r="CG40" s="32">
        <f t="shared" si="33"/>
        <v>52.578223998440393</v>
      </c>
      <c r="CH40" s="32">
        <f t="shared" si="34"/>
        <v>58.368262013841509</v>
      </c>
      <c r="CI40" s="32">
        <f t="shared" si="35"/>
        <v>-3.8445014463685965</v>
      </c>
      <c r="CJ40">
        <v>3077.7</v>
      </c>
      <c r="CK40">
        <v>115</v>
      </c>
      <c r="CL40">
        <v>108</v>
      </c>
      <c r="CM40" s="35">
        <v>1302</v>
      </c>
      <c r="CN40">
        <v>1525</v>
      </c>
      <c r="CO40">
        <v>544</v>
      </c>
      <c r="CP40">
        <v>606</v>
      </c>
      <c r="CQ40">
        <v>736</v>
      </c>
      <c r="CR40">
        <v>755</v>
      </c>
      <c r="CS40" s="20">
        <v>14</v>
      </c>
      <c r="CT40" s="20">
        <v>2</v>
      </c>
      <c r="CU40" s="35">
        <f t="shared" si="36"/>
        <v>-12</v>
      </c>
      <c r="CV40" s="38">
        <f t="shared" si="37"/>
        <v>0.99232132309509746</v>
      </c>
      <c r="CW40" s="38">
        <f t="shared" si="38"/>
        <v>0.14176018901358534</v>
      </c>
      <c r="CX40" s="38">
        <f t="shared" si="39"/>
        <v>-0.85056113408151213</v>
      </c>
      <c r="CY40" s="40">
        <v>29.34</v>
      </c>
      <c r="CZ40" s="40">
        <v>32.94</v>
      </c>
      <c r="DA40" s="40">
        <v>31.07</v>
      </c>
      <c r="DB40" s="40">
        <v>33.54</v>
      </c>
      <c r="DC40" s="40">
        <v>29.91</v>
      </c>
      <c r="DD40" s="40">
        <v>33.549999999999997</v>
      </c>
      <c r="DE40">
        <v>0</v>
      </c>
      <c r="DF40">
        <v>0</v>
      </c>
      <c r="DG40" s="33" t="str">
        <f t="shared" si="40"/>
        <v xml:space="preserve"> </v>
      </c>
      <c r="DH40">
        <v>0</v>
      </c>
      <c r="DI40">
        <v>0</v>
      </c>
      <c r="DJ40">
        <v>0</v>
      </c>
      <c r="DK40">
        <v>0</v>
      </c>
      <c r="DL40">
        <v>0</v>
      </c>
      <c r="DM40" s="1" t="s">
        <v>301</v>
      </c>
      <c r="DN40" t="s">
        <v>302</v>
      </c>
    </row>
    <row r="41" spans="1:118" x14ac:dyDescent="0.25">
      <c r="A41" t="s">
        <v>303</v>
      </c>
      <c r="B41" t="s">
        <v>304</v>
      </c>
      <c r="C41" s="1" t="s">
        <v>136</v>
      </c>
      <c r="D41" s="2" t="s">
        <v>163</v>
      </c>
      <c r="E41">
        <v>63</v>
      </c>
      <c r="F41">
        <f>(13/63)</f>
        <v>0.20634920634920634</v>
      </c>
      <c r="G41" t="s">
        <v>544</v>
      </c>
      <c r="H41">
        <f>(28/39)</f>
        <v>0.71794871794871795</v>
      </c>
      <c r="I41">
        <v>5</v>
      </c>
      <c r="J41">
        <v>6</v>
      </c>
      <c r="K41" s="29">
        <f t="shared" si="0"/>
        <v>11</v>
      </c>
      <c r="L41" s="30">
        <f t="shared" si="1"/>
        <v>1.1315578923305523</v>
      </c>
      <c r="M41" s="20">
        <v>5</v>
      </c>
      <c r="N41" s="20">
        <v>3</v>
      </c>
      <c r="O41" s="20">
        <v>3</v>
      </c>
      <c r="P41" s="20">
        <v>66</v>
      </c>
      <c r="Q41" s="20">
        <v>29</v>
      </c>
      <c r="R41" s="20">
        <v>30</v>
      </c>
      <c r="S41" s="20">
        <v>73</v>
      </c>
      <c r="T41" s="31">
        <f t="shared" si="2"/>
        <v>7.575757575757576E-2</v>
      </c>
      <c r="U41" s="31">
        <f t="shared" si="3"/>
        <v>0.04</v>
      </c>
      <c r="V41">
        <v>34996</v>
      </c>
      <c r="W41" s="32">
        <f t="shared" si="4"/>
        <v>9.2582010582010579</v>
      </c>
      <c r="X41" s="23">
        <v>575.41999999999996</v>
      </c>
      <c r="Y41" s="32">
        <f t="shared" si="5"/>
        <v>9.1336507936507925</v>
      </c>
      <c r="Z41" s="23">
        <v>2469.94</v>
      </c>
      <c r="AA41" s="32">
        <f t="shared" si="6"/>
        <v>39.205396825396825</v>
      </c>
      <c r="AB41" s="33">
        <f t="shared" si="7"/>
        <v>0.18894974649959279</v>
      </c>
      <c r="AC41" s="34">
        <f t="shared" si="8"/>
        <v>51.923076923076927</v>
      </c>
      <c r="AD41" s="20">
        <v>12</v>
      </c>
      <c r="AE41" s="20">
        <v>148</v>
      </c>
      <c r="AF41" s="20">
        <v>81</v>
      </c>
      <c r="AG41" s="20">
        <v>8</v>
      </c>
      <c r="AH41" s="20">
        <v>8</v>
      </c>
      <c r="AI41" s="31">
        <f t="shared" si="9"/>
        <v>0.38461538461538464</v>
      </c>
      <c r="AJ41" s="31">
        <f t="shared" si="10"/>
        <v>0.46153846153846156</v>
      </c>
      <c r="AK41" s="31">
        <f t="shared" si="11"/>
        <v>0.84615384615384626</v>
      </c>
      <c r="AL41" s="20">
        <v>168</v>
      </c>
      <c r="AM41" s="33">
        <f t="shared" si="12"/>
        <v>0.2984014209591474</v>
      </c>
      <c r="AN41" s="20">
        <v>174</v>
      </c>
      <c r="AO41" s="33">
        <f t="shared" si="13"/>
        <v>0.30905861456483125</v>
      </c>
      <c r="AP41" s="20">
        <v>221</v>
      </c>
      <c r="AQ41" s="33">
        <f t="shared" si="14"/>
        <v>0.3925399644760213</v>
      </c>
      <c r="AR41" s="33">
        <f t="shared" si="15"/>
        <v>0.49122807017543857</v>
      </c>
      <c r="AS41" s="1">
        <v>8</v>
      </c>
      <c r="AT41" s="23">
        <v>0.63</v>
      </c>
      <c r="AU41" s="20">
        <v>16.989999999999998</v>
      </c>
      <c r="AV41" s="35">
        <v>10</v>
      </c>
      <c r="AW41" s="36">
        <v>-9.1999999999999998E-2</v>
      </c>
      <c r="AX41" s="1">
        <v>10</v>
      </c>
      <c r="AY41" s="36">
        <v>-0.84899999999999998</v>
      </c>
      <c r="AZ41" s="20">
        <v>49.61</v>
      </c>
      <c r="BA41" s="20">
        <v>17.04</v>
      </c>
      <c r="BB41" s="36">
        <v>-2.7330000000000001</v>
      </c>
      <c r="BC41" s="36">
        <v>-4.6269999999999998</v>
      </c>
      <c r="BD41" s="20">
        <v>47.85</v>
      </c>
      <c r="BE41" s="33">
        <f t="shared" si="16"/>
        <v>5.7777777777777775E-2</v>
      </c>
      <c r="BF41" s="37">
        <f t="shared" si="17"/>
        <v>0.92413793103448272</v>
      </c>
      <c r="BG41" s="35">
        <f t="shared" si="18"/>
        <v>981.9157088122605</v>
      </c>
      <c r="BH41" s="33">
        <f t="shared" si="19"/>
        <v>-1.8084291187739507E-2</v>
      </c>
      <c r="BI41" s="38">
        <f t="shared" si="20"/>
        <v>1.3555316116923293</v>
      </c>
      <c r="BJ41" s="38">
        <f t="shared" si="21"/>
        <v>2.2939765736331723</v>
      </c>
      <c r="BK41" s="32">
        <f t="shared" si="22"/>
        <v>23.461124048521082</v>
      </c>
      <c r="BL41" s="32">
        <f t="shared" si="23"/>
        <v>30.238782106982725</v>
      </c>
      <c r="BM41" s="32">
        <f t="shared" si="24"/>
        <v>46.505161447290675</v>
      </c>
      <c r="BN41" s="32">
        <f t="shared" si="25"/>
        <v>55.472524416947628</v>
      </c>
      <c r="BO41" s="32">
        <f t="shared" si="26"/>
        <v>-8.9673629696569535</v>
      </c>
      <c r="BP41" s="20">
        <v>13</v>
      </c>
      <c r="BQ41" s="20">
        <v>22</v>
      </c>
      <c r="BR41" s="35">
        <v>212</v>
      </c>
      <c r="BS41" s="35">
        <v>268</v>
      </c>
      <c r="BT41" s="20">
        <v>89</v>
      </c>
      <c r="BU41" s="20">
        <v>120</v>
      </c>
      <c r="BV41" s="20">
        <v>132</v>
      </c>
      <c r="BW41" s="20">
        <v>122</v>
      </c>
      <c r="BX41" s="20">
        <v>207</v>
      </c>
      <c r="BY41" s="20">
        <v>248</v>
      </c>
      <c r="BZ41" s="33">
        <f t="shared" si="27"/>
        <v>0.45494505494505494</v>
      </c>
      <c r="CA41" s="23">
        <v>-5.14</v>
      </c>
      <c r="CB41" s="39">
        <f t="shared" si="28"/>
        <v>-5.0688366538674803</v>
      </c>
      <c r="CC41" s="38">
        <f t="shared" si="29"/>
        <v>2.1338474066441759</v>
      </c>
      <c r="CD41" s="38">
        <f t="shared" si="30"/>
        <v>2.732122380469646</v>
      </c>
      <c r="CE41" s="32">
        <f t="shared" si="31"/>
        <v>28.517773752347399</v>
      </c>
      <c r="CF41" s="32">
        <f t="shared" si="32"/>
        <v>29.87386369301846</v>
      </c>
      <c r="CG41" s="32">
        <f t="shared" si="33"/>
        <v>54.582620112010375</v>
      </c>
      <c r="CH41" s="32">
        <f t="shared" si="34"/>
        <v>56.018480049191496</v>
      </c>
      <c r="CI41" s="32">
        <f t="shared" si="35"/>
        <v>-7.5315030324758325</v>
      </c>
      <c r="CJ41">
        <v>3008.65</v>
      </c>
      <c r="CK41">
        <v>107</v>
      </c>
      <c r="CL41">
        <v>137</v>
      </c>
      <c r="CM41" s="35">
        <v>1323</v>
      </c>
      <c r="CN41">
        <v>1361</v>
      </c>
      <c r="CO41">
        <v>559</v>
      </c>
      <c r="CP41">
        <v>601</v>
      </c>
      <c r="CQ41">
        <v>748</v>
      </c>
      <c r="CR41">
        <v>710</v>
      </c>
      <c r="CS41" s="20">
        <v>4</v>
      </c>
      <c r="CT41" s="20">
        <v>9</v>
      </c>
      <c r="CU41" s="35">
        <f t="shared" si="36"/>
        <v>5</v>
      </c>
      <c r="CV41" s="38">
        <f t="shared" si="37"/>
        <v>0.41147559721110982</v>
      </c>
      <c r="CW41" s="38">
        <f t="shared" si="38"/>
        <v>0.92582009372499718</v>
      </c>
      <c r="CX41" s="38">
        <f t="shared" si="39"/>
        <v>0.51434449651388736</v>
      </c>
      <c r="CY41" s="40">
        <v>16.18</v>
      </c>
      <c r="CZ41" s="40">
        <v>22.44</v>
      </c>
      <c r="DA41" s="40">
        <v>15.53</v>
      </c>
      <c r="DB41" s="40">
        <v>30.85</v>
      </c>
      <c r="DC41" s="40">
        <v>20.440000000000001</v>
      </c>
      <c r="DD41" s="40">
        <v>23</v>
      </c>
      <c r="DE41">
        <v>5</v>
      </c>
      <c r="DF41">
        <v>8</v>
      </c>
      <c r="DG41" s="33">
        <f t="shared" si="40"/>
        <v>0.38461538461538464</v>
      </c>
      <c r="DH41">
        <v>0</v>
      </c>
      <c r="DI41">
        <v>-2</v>
      </c>
      <c r="DJ41">
        <v>3</v>
      </c>
      <c r="DK41">
        <v>7</v>
      </c>
      <c r="DL41">
        <v>3</v>
      </c>
      <c r="DM41" s="1" t="s">
        <v>305</v>
      </c>
      <c r="DN41" t="s">
        <v>306</v>
      </c>
    </row>
    <row r="42" spans="1:118" x14ac:dyDescent="0.25">
      <c r="A42" t="s">
        <v>307</v>
      </c>
      <c r="B42" t="s">
        <v>308</v>
      </c>
      <c r="C42" s="1" t="s">
        <v>186</v>
      </c>
      <c r="D42" s="2" t="s">
        <v>125</v>
      </c>
      <c r="E42">
        <v>45</v>
      </c>
      <c r="F42">
        <f>(12/42)</f>
        <v>0.2857142857142857</v>
      </c>
      <c r="G42" t="s">
        <v>544</v>
      </c>
      <c r="H42">
        <f>(10/32)</f>
        <v>0.3125</v>
      </c>
      <c r="I42">
        <v>5</v>
      </c>
      <c r="J42">
        <v>6</v>
      </c>
      <c r="K42" s="29">
        <f t="shared" si="0"/>
        <v>11</v>
      </c>
      <c r="L42" s="30">
        <f t="shared" si="1"/>
        <v>1.3374311864635753</v>
      </c>
      <c r="M42" s="20">
        <v>4</v>
      </c>
      <c r="N42" s="20">
        <v>2</v>
      </c>
      <c r="O42" s="20">
        <v>3</v>
      </c>
      <c r="P42" s="20">
        <v>60</v>
      </c>
      <c r="Q42" s="20">
        <v>29</v>
      </c>
      <c r="R42" s="20">
        <v>16</v>
      </c>
      <c r="S42" s="20">
        <v>74</v>
      </c>
      <c r="T42" s="31">
        <f t="shared" si="2"/>
        <v>8.3333333333333329E-2</v>
      </c>
      <c r="U42" s="31">
        <f t="shared" si="3"/>
        <v>4.7619047619047616E-2</v>
      </c>
      <c r="V42">
        <v>29609</v>
      </c>
      <c r="W42" s="32">
        <f t="shared" si="4"/>
        <v>10.966296296296296</v>
      </c>
      <c r="X42" s="23">
        <v>471.58</v>
      </c>
      <c r="Y42" s="32">
        <f t="shared" si="5"/>
        <v>10.479555555555555</v>
      </c>
      <c r="Z42" s="23">
        <v>1666.8</v>
      </c>
      <c r="AA42" s="32">
        <f t="shared" si="6"/>
        <v>37.04</v>
      </c>
      <c r="AB42" s="33">
        <f t="shared" si="7"/>
        <v>0.22053143033511349</v>
      </c>
      <c r="AC42" s="34">
        <f t="shared" si="8"/>
        <v>25.368421052631579</v>
      </c>
      <c r="AD42" s="20">
        <v>24</v>
      </c>
      <c r="AE42" s="20">
        <v>41</v>
      </c>
      <c r="AF42" s="20">
        <v>47</v>
      </c>
      <c r="AG42" s="20">
        <v>9</v>
      </c>
      <c r="AH42" s="20">
        <v>16</v>
      </c>
      <c r="AI42" s="31">
        <f t="shared" si="9"/>
        <v>0.21052631578947367</v>
      </c>
      <c r="AJ42" s="31">
        <f t="shared" si="10"/>
        <v>0.26315789473684209</v>
      </c>
      <c r="AK42" s="31">
        <f t="shared" si="11"/>
        <v>0.47368421052631576</v>
      </c>
      <c r="AL42" s="20">
        <v>122</v>
      </c>
      <c r="AM42" s="33">
        <f t="shared" si="12"/>
        <v>0.26931567328918321</v>
      </c>
      <c r="AN42" s="20">
        <v>167</v>
      </c>
      <c r="AO42" s="33">
        <f t="shared" si="13"/>
        <v>0.36865342163355408</v>
      </c>
      <c r="AP42" s="20">
        <v>164</v>
      </c>
      <c r="AQ42" s="33">
        <f t="shared" si="14"/>
        <v>0.36203090507726271</v>
      </c>
      <c r="AR42" s="33">
        <f t="shared" si="15"/>
        <v>0.42214532871972316</v>
      </c>
      <c r="AS42" s="1">
        <v>2</v>
      </c>
      <c r="AT42" s="23">
        <v>-10.57</v>
      </c>
      <c r="AU42" s="20">
        <v>17.190000000000001</v>
      </c>
      <c r="AV42" s="35">
        <v>11</v>
      </c>
      <c r="AW42" s="36">
        <v>0.53900000000000003</v>
      </c>
      <c r="AX42" s="1">
        <v>3</v>
      </c>
      <c r="AY42" s="36">
        <v>1.113</v>
      </c>
      <c r="AZ42" s="20">
        <v>50.44</v>
      </c>
      <c r="BA42" s="20">
        <v>17.100000000000001</v>
      </c>
      <c r="BB42" s="36">
        <v>-0.93900000000000006</v>
      </c>
      <c r="BC42" s="36">
        <v>4.1630000000000003</v>
      </c>
      <c r="BD42" s="20">
        <v>52.53</v>
      </c>
      <c r="BE42" s="33">
        <f t="shared" si="16"/>
        <v>7.8838174273858919E-2</v>
      </c>
      <c r="BF42" s="37">
        <f t="shared" si="17"/>
        <v>0.92021276595744683</v>
      </c>
      <c r="BG42" s="35">
        <f t="shared" si="18"/>
        <v>999.05094023130573</v>
      </c>
      <c r="BH42" s="33">
        <f t="shared" si="19"/>
        <v>-9.4905976869424924E-4</v>
      </c>
      <c r="BI42" s="38">
        <f t="shared" si="20"/>
        <v>2.4174053182917001</v>
      </c>
      <c r="BJ42" s="38">
        <f t="shared" si="21"/>
        <v>1.9084778828618687</v>
      </c>
      <c r="BK42" s="32">
        <f t="shared" si="22"/>
        <v>30.662877984647359</v>
      </c>
      <c r="BL42" s="32">
        <f t="shared" si="23"/>
        <v>23.919589465202087</v>
      </c>
      <c r="BM42" s="32">
        <f t="shared" si="24"/>
        <v>61.707451545867087</v>
      </c>
      <c r="BN42" s="32">
        <f t="shared" si="25"/>
        <v>53.055685143559955</v>
      </c>
      <c r="BO42" s="32">
        <f t="shared" si="26"/>
        <v>8.6517664023071319</v>
      </c>
      <c r="BP42" s="20">
        <v>19</v>
      </c>
      <c r="BQ42" s="20">
        <v>15</v>
      </c>
      <c r="BR42" s="35">
        <v>222</v>
      </c>
      <c r="BS42" s="35">
        <v>173</v>
      </c>
      <c r="BT42" s="20">
        <v>124</v>
      </c>
      <c r="BU42" s="20">
        <v>110</v>
      </c>
      <c r="BV42" s="20">
        <v>120</v>
      </c>
      <c r="BW42" s="20">
        <v>119</v>
      </c>
      <c r="BX42" s="20">
        <v>247</v>
      </c>
      <c r="BY42" s="20">
        <v>201</v>
      </c>
      <c r="BZ42" s="33">
        <f t="shared" si="27"/>
        <v>0.5513392857142857</v>
      </c>
      <c r="CA42" s="23">
        <v>4.09</v>
      </c>
      <c r="CB42" s="39">
        <f t="shared" si="28"/>
        <v>7.380278513033776</v>
      </c>
      <c r="CC42" s="38">
        <f t="shared" si="29"/>
        <v>2.3325162764566545</v>
      </c>
      <c r="CD42" s="38">
        <f t="shared" si="30"/>
        <v>2.3325162764566545</v>
      </c>
      <c r="CE42" s="32">
        <f t="shared" si="31"/>
        <v>31.053379343187991</v>
      </c>
      <c r="CF42" s="32">
        <f t="shared" si="32"/>
        <v>27.79347707729676</v>
      </c>
      <c r="CG42" s="32">
        <f t="shared" si="33"/>
        <v>60.420602341949483</v>
      </c>
      <c r="CH42" s="32">
        <f t="shared" si="34"/>
        <v>56.401929721066331</v>
      </c>
      <c r="CI42" s="32">
        <f t="shared" si="35"/>
        <v>4.6330937814239803</v>
      </c>
      <c r="CJ42">
        <v>2135.0333329999999</v>
      </c>
      <c r="CK42">
        <v>83</v>
      </c>
      <c r="CL42">
        <v>83</v>
      </c>
      <c r="CM42" s="35">
        <v>1022</v>
      </c>
      <c r="CN42">
        <v>906</v>
      </c>
      <c r="CO42">
        <v>487</v>
      </c>
      <c r="CP42">
        <v>478</v>
      </c>
      <c r="CQ42">
        <v>558</v>
      </c>
      <c r="CR42">
        <v>540</v>
      </c>
      <c r="CS42" s="20">
        <v>5</v>
      </c>
      <c r="CT42" s="20">
        <v>8</v>
      </c>
      <c r="CU42" s="35">
        <f t="shared" si="36"/>
        <v>3</v>
      </c>
      <c r="CV42" s="38">
        <f t="shared" si="37"/>
        <v>0.60792326657435247</v>
      </c>
      <c r="CW42" s="38">
        <f t="shared" si="38"/>
        <v>0.97267722651896404</v>
      </c>
      <c r="CX42" s="38">
        <f t="shared" si="39"/>
        <v>0.36475395994461146</v>
      </c>
      <c r="CY42" s="40">
        <v>20.48</v>
      </c>
      <c r="CZ42" s="40">
        <v>17.920000000000002</v>
      </c>
      <c r="DA42" s="40">
        <v>15.45</v>
      </c>
      <c r="DB42" s="40">
        <v>18.25</v>
      </c>
      <c r="DC42" s="40">
        <v>14.87</v>
      </c>
      <c r="DD42" s="40">
        <v>21.07</v>
      </c>
      <c r="DE42">
        <v>177</v>
      </c>
      <c r="DF42">
        <v>177</v>
      </c>
      <c r="DG42" s="33">
        <f t="shared" si="40"/>
        <v>0.5</v>
      </c>
      <c r="DH42">
        <v>0.19</v>
      </c>
      <c r="DI42">
        <v>0.77</v>
      </c>
      <c r="DJ42">
        <v>94</v>
      </c>
      <c r="DK42">
        <v>123</v>
      </c>
      <c r="DL42">
        <v>122</v>
      </c>
      <c r="DM42" s="1" t="s">
        <v>309</v>
      </c>
      <c r="DN42" t="s">
        <v>310</v>
      </c>
    </row>
    <row r="43" spans="1:118" x14ac:dyDescent="0.25">
      <c r="A43" t="s">
        <v>311</v>
      </c>
      <c r="B43" t="s">
        <v>312</v>
      </c>
      <c r="C43" s="1" t="s">
        <v>259</v>
      </c>
      <c r="D43" s="2" t="s">
        <v>125</v>
      </c>
      <c r="E43">
        <v>39</v>
      </c>
      <c r="F43">
        <f>(11/39)</f>
        <v>0.28205128205128205</v>
      </c>
      <c r="G43" t="s">
        <v>538</v>
      </c>
      <c r="H43">
        <f>(28/36)</f>
        <v>0.77777777777777779</v>
      </c>
      <c r="I43">
        <v>8</v>
      </c>
      <c r="J43">
        <v>3</v>
      </c>
      <c r="K43" s="29">
        <f t="shared" si="0"/>
        <v>11</v>
      </c>
      <c r="L43" s="30">
        <f t="shared" si="1"/>
        <v>1.4493284046407788</v>
      </c>
      <c r="M43" s="20">
        <v>7</v>
      </c>
      <c r="N43" s="20">
        <v>2</v>
      </c>
      <c r="O43" s="20">
        <v>0</v>
      </c>
      <c r="P43" s="20">
        <v>85</v>
      </c>
      <c r="Q43" s="20">
        <v>19</v>
      </c>
      <c r="R43" s="20">
        <v>23</v>
      </c>
      <c r="S43" s="20">
        <v>72</v>
      </c>
      <c r="T43" s="31">
        <f t="shared" si="2"/>
        <v>9.4117647058823528E-2</v>
      </c>
      <c r="U43" s="31">
        <f t="shared" si="3"/>
        <v>6.2992125984251968E-2</v>
      </c>
      <c r="V43">
        <v>27323</v>
      </c>
      <c r="W43" s="32">
        <f t="shared" si="4"/>
        <v>11.676495726495725</v>
      </c>
      <c r="X43" s="23">
        <v>436.63</v>
      </c>
      <c r="Y43" s="32">
        <f t="shared" si="5"/>
        <v>11.195641025641025</v>
      </c>
      <c r="Z43" s="23">
        <v>1433.92</v>
      </c>
      <c r="AA43" s="32">
        <f t="shared" si="6"/>
        <v>36.76717948717949</v>
      </c>
      <c r="AB43" s="33">
        <f t="shared" si="7"/>
        <v>0.23342332469059901</v>
      </c>
      <c r="AC43" s="34">
        <f t="shared" si="8"/>
        <v>34.307692307692307</v>
      </c>
      <c r="AD43" s="20">
        <v>23</v>
      </c>
      <c r="AE43" s="20">
        <v>60</v>
      </c>
      <c r="AF43" s="20">
        <v>48</v>
      </c>
      <c r="AG43" s="20">
        <v>11</v>
      </c>
      <c r="AH43" s="20">
        <v>16</v>
      </c>
      <c r="AI43" s="31">
        <f t="shared" si="9"/>
        <v>0.53846153846153844</v>
      </c>
      <c r="AJ43" s="31">
        <f t="shared" si="10"/>
        <v>0.15384615384615385</v>
      </c>
      <c r="AK43" s="31">
        <f t="shared" si="11"/>
        <v>0.69230769230769229</v>
      </c>
      <c r="AL43" s="20">
        <v>168</v>
      </c>
      <c r="AM43" s="33">
        <f t="shared" si="12"/>
        <v>0.40095465393794749</v>
      </c>
      <c r="AN43" s="20">
        <v>97</v>
      </c>
      <c r="AO43" s="33">
        <f t="shared" si="13"/>
        <v>0.23150357995226731</v>
      </c>
      <c r="AP43" s="20">
        <v>154</v>
      </c>
      <c r="AQ43" s="33">
        <f t="shared" si="14"/>
        <v>0.36754176610978523</v>
      </c>
      <c r="AR43" s="33">
        <f t="shared" si="15"/>
        <v>0.63396226415094337</v>
      </c>
      <c r="AS43" s="1">
        <v>16</v>
      </c>
      <c r="AT43" s="23">
        <v>13.18</v>
      </c>
      <c r="AU43" s="20">
        <v>16.899999999999999</v>
      </c>
      <c r="AV43" s="35">
        <v>11</v>
      </c>
      <c r="AW43" s="36">
        <v>-6.0999999999999999E-2</v>
      </c>
      <c r="AX43" s="1">
        <v>9</v>
      </c>
      <c r="AY43" s="36">
        <v>-1.2190000000000001</v>
      </c>
      <c r="AZ43" s="20">
        <v>49.36</v>
      </c>
      <c r="BA43" s="20">
        <v>17.55</v>
      </c>
      <c r="BB43" s="36">
        <v>-1.9500000000000002</v>
      </c>
      <c r="BC43" s="36">
        <v>-2.4239999999999999</v>
      </c>
      <c r="BD43" s="20">
        <v>49.3</v>
      </c>
      <c r="BE43" s="33">
        <f t="shared" si="16"/>
        <v>5.829596412556054E-2</v>
      </c>
      <c r="BF43" s="37">
        <f t="shared" si="17"/>
        <v>0.90575916230366493</v>
      </c>
      <c r="BG43" s="35">
        <f t="shared" si="18"/>
        <v>964.05512642922542</v>
      </c>
      <c r="BH43" s="33">
        <f t="shared" si="19"/>
        <v>-3.5944873570774527E-2</v>
      </c>
      <c r="BI43" s="38">
        <f t="shared" si="20"/>
        <v>1.7864095458397269</v>
      </c>
      <c r="BJ43" s="38">
        <f t="shared" si="21"/>
        <v>2.4734901403934684</v>
      </c>
      <c r="BK43" s="32">
        <f t="shared" si="22"/>
        <v>30.643794517096858</v>
      </c>
      <c r="BL43" s="32">
        <f t="shared" si="23"/>
        <v>26.246478711952911</v>
      </c>
      <c r="BM43" s="32">
        <f t="shared" si="24"/>
        <v>51.531044591530588</v>
      </c>
      <c r="BN43" s="32">
        <f t="shared" si="25"/>
        <v>53.729702494102561</v>
      </c>
      <c r="BO43" s="32">
        <f t="shared" si="26"/>
        <v>-2.1986579025719735</v>
      </c>
      <c r="BP43" s="20">
        <v>13</v>
      </c>
      <c r="BQ43" s="20">
        <v>18</v>
      </c>
      <c r="BR43" s="35">
        <v>210</v>
      </c>
      <c r="BS43" s="35">
        <v>173</v>
      </c>
      <c r="BT43" s="20">
        <v>63</v>
      </c>
      <c r="BU43" s="20">
        <v>95</v>
      </c>
      <c r="BV43" s="20">
        <v>89</v>
      </c>
      <c r="BW43" s="20">
        <v>105</v>
      </c>
      <c r="BX43" s="20">
        <v>184</v>
      </c>
      <c r="BY43" s="20">
        <v>190</v>
      </c>
      <c r="BZ43" s="33">
        <f t="shared" si="27"/>
        <v>0.49197860962566847</v>
      </c>
      <c r="CA43" s="23">
        <v>-1.64</v>
      </c>
      <c r="CB43" s="39">
        <f t="shared" si="28"/>
        <v>-4.2987522421946149</v>
      </c>
      <c r="CC43" s="38">
        <f t="shared" si="29"/>
        <v>2.4365265243988339</v>
      </c>
      <c r="CD43" s="38">
        <f t="shared" si="30"/>
        <v>2.2121096076778888</v>
      </c>
      <c r="CE43" s="32">
        <f t="shared" si="31"/>
        <v>32.540452924537057</v>
      </c>
      <c r="CF43" s="32">
        <f t="shared" si="32"/>
        <v>28.885663137938806</v>
      </c>
      <c r="CG43" s="32">
        <f t="shared" si="33"/>
        <v>55.847752703983801</v>
      </c>
      <c r="CH43" s="32">
        <f t="shared" si="34"/>
        <v>53.95623869162155</v>
      </c>
      <c r="CI43" s="32">
        <f t="shared" si="35"/>
        <v>-4.0901719149342242</v>
      </c>
      <c r="CJ43">
        <v>1871.5166670000001</v>
      </c>
      <c r="CK43">
        <v>76</v>
      </c>
      <c r="CL43">
        <v>69</v>
      </c>
      <c r="CM43" s="35">
        <v>939</v>
      </c>
      <c r="CN43">
        <v>832</v>
      </c>
      <c r="CO43">
        <v>324</v>
      </c>
      <c r="CP43">
        <v>334</v>
      </c>
      <c r="CQ43">
        <v>403</v>
      </c>
      <c r="CR43">
        <v>448</v>
      </c>
      <c r="CS43" s="20">
        <v>5</v>
      </c>
      <c r="CT43" s="20">
        <v>4</v>
      </c>
      <c r="CU43" s="35">
        <f t="shared" si="36"/>
        <v>-1</v>
      </c>
      <c r="CV43" s="38">
        <f t="shared" si="37"/>
        <v>0.65878563847308136</v>
      </c>
      <c r="CW43" s="38">
        <f t="shared" si="38"/>
        <v>0.52702851077846513</v>
      </c>
      <c r="CX43" s="38">
        <f t="shared" si="39"/>
        <v>-0.13175712769461628</v>
      </c>
      <c r="CY43" s="40">
        <v>15.86</v>
      </c>
      <c r="CZ43" s="40">
        <v>14.36</v>
      </c>
      <c r="DA43" s="40">
        <v>21.37</v>
      </c>
      <c r="DB43" s="40">
        <v>12.57</v>
      </c>
      <c r="DC43" s="40">
        <v>18.350000000000001</v>
      </c>
      <c r="DD43" s="40">
        <v>18.12</v>
      </c>
      <c r="DE43">
        <v>0</v>
      </c>
      <c r="DF43">
        <v>3</v>
      </c>
      <c r="DG43" s="33">
        <f t="shared" si="40"/>
        <v>0</v>
      </c>
      <c r="DH43">
        <v>0</v>
      </c>
      <c r="DI43">
        <v>-0.24</v>
      </c>
      <c r="DJ43">
        <v>2</v>
      </c>
      <c r="DK43">
        <v>0</v>
      </c>
      <c r="DL43">
        <v>1</v>
      </c>
      <c r="DM43" s="1" t="s">
        <v>313</v>
      </c>
      <c r="DN43" t="s">
        <v>314</v>
      </c>
    </row>
    <row r="44" spans="1:118" x14ac:dyDescent="0.25">
      <c r="A44" t="s">
        <v>315</v>
      </c>
      <c r="B44" t="s">
        <v>316</v>
      </c>
      <c r="C44" s="1" t="s">
        <v>141</v>
      </c>
      <c r="D44" s="2" t="s">
        <v>125</v>
      </c>
      <c r="E44">
        <v>36</v>
      </c>
      <c r="F44">
        <f>(10/36)</f>
        <v>0.27777777777777779</v>
      </c>
      <c r="G44" t="s">
        <v>544</v>
      </c>
      <c r="H44">
        <f>(56/64)</f>
        <v>0.875</v>
      </c>
      <c r="I44">
        <v>6</v>
      </c>
      <c r="J44">
        <v>3</v>
      </c>
      <c r="K44" s="29">
        <f t="shared" si="0"/>
        <v>9</v>
      </c>
      <c r="L44" s="30">
        <f t="shared" si="1"/>
        <v>1.4553294704217761</v>
      </c>
      <c r="M44" s="20">
        <v>6</v>
      </c>
      <c r="N44" s="20">
        <v>2</v>
      </c>
      <c r="O44" s="20">
        <v>1</v>
      </c>
      <c r="P44" s="20">
        <v>34</v>
      </c>
      <c r="Q44" s="20">
        <v>10</v>
      </c>
      <c r="R44" s="20">
        <v>14</v>
      </c>
      <c r="S44" s="20">
        <v>42</v>
      </c>
      <c r="T44" s="31">
        <f t="shared" si="2"/>
        <v>0.17647058823529413</v>
      </c>
      <c r="U44" s="31">
        <f t="shared" si="3"/>
        <v>0.10344827586206896</v>
      </c>
      <c r="V44">
        <v>22263</v>
      </c>
      <c r="W44" s="32">
        <f t="shared" si="4"/>
        <v>10.306944444444444</v>
      </c>
      <c r="X44" s="23">
        <v>363.01</v>
      </c>
      <c r="Y44" s="32">
        <f t="shared" si="5"/>
        <v>10.083611111111111</v>
      </c>
      <c r="Z44" s="23">
        <v>1325.42</v>
      </c>
      <c r="AA44" s="32">
        <f t="shared" si="6"/>
        <v>36.817222222222227</v>
      </c>
      <c r="AB44" s="33">
        <f t="shared" si="7"/>
        <v>0.2149985489478391</v>
      </c>
      <c r="AC44" s="34">
        <f t="shared" si="8"/>
        <v>27.23076923076923</v>
      </c>
      <c r="AD44" s="20">
        <v>17</v>
      </c>
      <c r="AE44" s="20">
        <v>38</v>
      </c>
      <c r="AF44" s="20">
        <v>56</v>
      </c>
      <c r="AG44" s="20">
        <v>11</v>
      </c>
      <c r="AH44" s="20">
        <v>18</v>
      </c>
      <c r="AI44" s="31">
        <f t="shared" si="9"/>
        <v>0.46153846153846156</v>
      </c>
      <c r="AJ44" s="31">
        <f t="shared" si="10"/>
        <v>0.23076923076923078</v>
      </c>
      <c r="AK44" s="31">
        <f t="shared" si="11"/>
        <v>0.69230769230769229</v>
      </c>
      <c r="AL44" s="20">
        <v>94</v>
      </c>
      <c r="AM44" s="33">
        <f t="shared" si="12"/>
        <v>0.3418181818181818</v>
      </c>
      <c r="AN44" s="20">
        <v>71</v>
      </c>
      <c r="AO44" s="33">
        <f t="shared" si="13"/>
        <v>0.25818181818181818</v>
      </c>
      <c r="AP44" s="20">
        <v>110</v>
      </c>
      <c r="AQ44" s="33">
        <f t="shared" si="14"/>
        <v>0.4</v>
      </c>
      <c r="AR44" s="33">
        <f t="shared" si="15"/>
        <v>0.5696969696969697</v>
      </c>
      <c r="AS44" s="1">
        <v>14</v>
      </c>
      <c r="AT44" s="23">
        <v>4.74</v>
      </c>
      <c r="AU44" s="20">
        <v>16.79</v>
      </c>
      <c r="AV44" s="35">
        <v>12</v>
      </c>
      <c r="AW44" s="36">
        <v>-0.28100000000000003</v>
      </c>
      <c r="AX44" s="1">
        <v>12</v>
      </c>
      <c r="AY44" s="36">
        <v>-1.0289999999999999</v>
      </c>
      <c r="AZ44" s="20">
        <v>49.73</v>
      </c>
      <c r="BA44" s="20">
        <v>16.97</v>
      </c>
      <c r="BB44" s="36">
        <v>0.71199999999999997</v>
      </c>
      <c r="BC44" s="36">
        <v>1.635</v>
      </c>
      <c r="BD44" s="20">
        <v>50.14</v>
      </c>
      <c r="BE44" s="33">
        <f t="shared" si="16"/>
        <v>7.3446327683615822E-2</v>
      </c>
      <c r="BF44" s="37">
        <f t="shared" si="17"/>
        <v>0.94666666666666666</v>
      </c>
      <c r="BG44" s="35">
        <f t="shared" si="18"/>
        <v>1020.1129943502824</v>
      </c>
      <c r="BH44" s="33">
        <f t="shared" si="19"/>
        <v>2.0112994350282479E-2</v>
      </c>
      <c r="BI44" s="38">
        <f t="shared" si="20"/>
        <v>2.1487011377097049</v>
      </c>
      <c r="BJ44" s="38">
        <f t="shared" si="21"/>
        <v>1.3222776232059723</v>
      </c>
      <c r="BK44" s="32">
        <f t="shared" si="22"/>
        <v>29.255392413432137</v>
      </c>
      <c r="BL44" s="32">
        <f t="shared" si="23"/>
        <v>24.792705435111984</v>
      </c>
      <c r="BM44" s="32">
        <f t="shared" si="24"/>
        <v>58.676069529765023</v>
      </c>
      <c r="BN44" s="32">
        <f t="shared" si="25"/>
        <v>51.568827305032926</v>
      </c>
      <c r="BO44" s="32">
        <f t="shared" si="26"/>
        <v>7.1072422247320972</v>
      </c>
      <c r="BP44" s="20">
        <v>13</v>
      </c>
      <c r="BQ44" s="20">
        <v>8</v>
      </c>
      <c r="BR44" s="35">
        <v>164</v>
      </c>
      <c r="BS44" s="35">
        <v>142</v>
      </c>
      <c r="BT44" s="20">
        <v>71</v>
      </c>
      <c r="BU44" s="20">
        <v>58</v>
      </c>
      <c r="BV44" s="20">
        <v>107</v>
      </c>
      <c r="BW44" s="20">
        <v>104</v>
      </c>
      <c r="BX44" s="20">
        <v>160</v>
      </c>
      <c r="BY44" s="20">
        <v>147</v>
      </c>
      <c r="BZ44" s="33">
        <f t="shared" si="27"/>
        <v>0.52117263843648209</v>
      </c>
      <c r="CA44" s="23">
        <v>2.4300000000000002</v>
      </c>
      <c r="CB44" s="39">
        <f t="shared" si="28"/>
        <v>2.6805149520048257</v>
      </c>
      <c r="CC44" s="38">
        <f t="shared" si="29"/>
        <v>2.3472694218076211</v>
      </c>
      <c r="CD44" s="38">
        <f t="shared" si="30"/>
        <v>1.9916225397155567</v>
      </c>
      <c r="CE44" s="32">
        <f t="shared" si="31"/>
        <v>30.123290913197799</v>
      </c>
      <c r="CF44" s="32">
        <f t="shared" si="32"/>
        <v>28.202797749900657</v>
      </c>
      <c r="CG44" s="32">
        <f t="shared" si="33"/>
        <v>58.183829910261636</v>
      </c>
      <c r="CH44" s="32">
        <f t="shared" si="34"/>
        <v>54.947443283223848</v>
      </c>
      <c r="CI44" s="32">
        <f t="shared" si="35"/>
        <v>3.8708555976943089</v>
      </c>
      <c r="CJ44">
        <v>1687.0666670000001</v>
      </c>
      <c r="CK44">
        <v>66</v>
      </c>
      <c r="CL44">
        <v>56</v>
      </c>
      <c r="CM44" s="35">
        <v>781</v>
      </c>
      <c r="CN44">
        <v>737</v>
      </c>
      <c r="CO44">
        <v>332</v>
      </c>
      <c r="CP44">
        <v>272</v>
      </c>
      <c r="CQ44">
        <v>457</v>
      </c>
      <c r="CR44">
        <v>480</v>
      </c>
      <c r="CS44" s="20">
        <v>1</v>
      </c>
      <c r="CT44" s="20">
        <v>9</v>
      </c>
      <c r="CU44" s="35">
        <f t="shared" si="36"/>
        <v>8</v>
      </c>
      <c r="CV44" s="38">
        <f t="shared" si="37"/>
        <v>0.16170327449130847</v>
      </c>
      <c r="CW44" s="38">
        <f t="shared" si="38"/>
        <v>1.4553294704217761</v>
      </c>
      <c r="CX44" s="38">
        <f t="shared" si="39"/>
        <v>1.2936261959304678</v>
      </c>
      <c r="CY44" s="40">
        <v>12.31</v>
      </c>
      <c r="CZ44" s="40">
        <v>12.57</v>
      </c>
      <c r="DA44" s="40">
        <v>13.87</v>
      </c>
      <c r="DB44" s="40">
        <v>7.21</v>
      </c>
      <c r="DC44" s="40">
        <v>11.57</v>
      </c>
      <c r="DD44" s="40">
        <v>13.72</v>
      </c>
      <c r="DE44">
        <v>107</v>
      </c>
      <c r="DF44">
        <v>122</v>
      </c>
      <c r="DG44" s="33">
        <f t="shared" si="40"/>
        <v>0.46724890829694321</v>
      </c>
      <c r="DH44">
        <v>0.04</v>
      </c>
      <c r="DI44">
        <v>0.45</v>
      </c>
      <c r="DJ44">
        <v>61</v>
      </c>
      <c r="DK44">
        <v>96</v>
      </c>
      <c r="DL44">
        <v>67</v>
      </c>
      <c r="DM44" s="1" t="s">
        <v>317</v>
      </c>
      <c r="DN44" t="s">
        <v>318</v>
      </c>
    </row>
    <row r="45" spans="1:118" x14ac:dyDescent="0.25">
      <c r="A45" t="s">
        <v>319</v>
      </c>
      <c r="B45" t="s">
        <v>320</v>
      </c>
      <c r="C45" s="1" t="s">
        <v>268</v>
      </c>
      <c r="D45" s="2" t="s">
        <v>321</v>
      </c>
      <c r="E45">
        <v>41</v>
      </c>
      <c r="F45">
        <f>(11/41)</f>
        <v>0.26829268292682928</v>
      </c>
      <c r="G45" t="s">
        <v>544</v>
      </c>
      <c r="H45">
        <f>(27/45)</f>
        <v>0.6</v>
      </c>
      <c r="I45">
        <v>4</v>
      </c>
      <c r="J45">
        <v>6</v>
      </c>
      <c r="K45" s="29">
        <f t="shared" si="0"/>
        <v>10</v>
      </c>
      <c r="L45" s="30">
        <f t="shared" si="1"/>
        <v>1.226241569589209</v>
      </c>
      <c r="M45" s="20">
        <v>4</v>
      </c>
      <c r="N45" s="20">
        <v>3</v>
      </c>
      <c r="O45" s="20">
        <v>1</v>
      </c>
      <c r="P45" s="20">
        <v>57</v>
      </c>
      <c r="Q45" s="20">
        <v>25</v>
      </c>
      <c r="R45" s="20">
        <v>16</v>
      </c>
      <c r="S45" s="20">
        <v>74</v>
      </c>
      <c r="T45" s="31">
        <f t="shared" si="2"/>
        <v>7.0175438596491224E-2</v>
      </c>
      <c r="U45" s="31">
        <f t="shared" si="3"/>
        <v>4.0816326530612242E-2</v>
      </c>
      <c r="V45">
        <v>29358</v>
      </c>
      <c r="W45" s="32">
        <f t="shared" si="4"/>
        <v>11.934146341463414</v>
      </c>
      <c r="X45" s="23">
        <v>475.24</v>
      </c>
      <c r="Y45" s="32">
        <f t="shared" si="5"/>
        <v>11.591219512195122</v>
      </c>
      <c r="Z45" s="23">
        <v>1501.95</v>
      </c>
      <c r="AA45" s="32">
        <f t="shared" si="6"/>
        <v>36.632926829268293</v>
      </c>
      <c r="AB45" s="33">
        <f t="shared" si="7"/>
        <v>0.24036132086445916</v>
      </c>
      <c r="AC45" s="34">
        <f t="shared" si="8"/>
        <v>46.800000000000004</v>
      </c>
      <c r="AD45" s="20">
        <v>17</v>
      </c>
      <c r="AE45" s="20">
        <v>60</v>
      </c>
      <c r="AF45" s="20">
        <v>78</v>
      </c>
      <c r="AG45" s="20">
        <v>8</v>
      </c>
      <c r="AH45" s="20">
        <v>9</v>
      </c>
      <c r="AI45" s="31">
        <f t="shared" si="9"/>
        <v>0.26666666666666666</v>
      </c>
      <c r="AJ45" s="31">
        <f t="shared" si="10"/>
        <v>0.26666666666666666</v>
      </c>
      <c r="AK45" s="31">
        <f t="shared" si="11"/>
        <v>0.53333333333333333</v>
      </c>
      <c r="AL45" s="20">
        <v>110</v>
      </c>
      <c r="AM45" s="33">
        <f t="shared" si="12"/>
        <v>0.26066350710900477</v>
      </c>
      <c r="AN45" s="20">
        <v>147</v>
      </c>
      <c r="AO45" s="33">
        <f t="shared" si="13"/>
        <v>0.34834123222748814</v>
      </c>
      <c r="AP45" s="20">
        <v>165</v>
      </c>
      <c r="AQ45" s="33">
        <f t="shared" si="14"/>
        <v>0.39099526066350709</v>
      </c>
      <c r="AR45" s="33">
        <f t="shared" si="15"/>
        <v>0.42801556420233461</v>
      </c>
      <c r="AS45" s="1">
        <v>5</v>
      </c>
      <c r="AT45" s="23">
        <v>-13.85</v>
      </c>
      <c r="AU45" s="20">
        <v>17.07</v>
      </c>
      <c r="AV45" s="35">
        <v>12</v>
      </c>
      <c r="AW45" s="36">
        <v>0.60499999999999998</v>
      </c>
      <c r="AX45" s="1">
        <v>5</v>
      </c>
      <c r="AY45" s="36">
        <v>-0.74299999999999999</v>
      </c>
      <c r="AZ45" s="20">
        <v>49.71</v>
      </c>
      <c r="BA45" s="20">
        <v>17.07</v>
      </c>
      <c r="BB45" s="36">
        <v>-5.1619999999999999</v>
      </c>
      <c r="BC45" s="36">
        <v>2.7919999999999998</v>
      </c>
      <c r="BD45" s="20">
        <v>51.49</v>
      </c>
      <c r="BE45" s="33">
        <f t="shared" si="16"/>
        <v>6.4102564102564097E-2</v>
      </c>
      <c r="BF45" s="37">
        <f t="shared" si="17"/>
        <v>0.93236714975845414</v>
      </c>
      <c r="BG45" s="35">
        <f t="shared" si="18"/>
        <v>996.46971386101825</v>
      </c>
      <c r="BH45" s="33">
        <f t="shared" si="19"/>
        <v>-3.5302861389817641E-3</v>
      </c>
      <c r="BI45" s="38">
        <f t="shared" si="20"/>
        <v>1.8937799848497603</v>
      </c>
      <c r="BJ45" s="38">
        <f t="shared" si="21"/>
        <v>1.7675279858597761</v>
      </c>
      <c r="BK45" s="32">
        <f t="shared" si="22"/>
        <v>29.542967763656257</v>
      </c>
      <c r="BL45" s="32">
        <f t="shared" si="23"/>
        <v>26.134163790926689</v>
      </c>
      <c r="BM45" s="32">
        <f t="shared" si="24"/>
        <v>51.763319585893441</v>
      </c>
      <c r="BN45" s="32">
        <f t="shared" si="25"/>
        <v>48.733271610133826</v>
      </c>
      <c r="BO45" s="32">
        <f t="shared" si="26"/>
        <v>3.030047975759615</v>
      </c>
      <c r="BP45" s="20">
        <v>15</v>
      </c>
      <c r="BQ45" s="20">
        <v>14</v>
      </c>
      <c r="BR45" s="35">
        <v>219</v>
      </c>
      <c r="BS45" s="35">
        <v>193</v>
      </c>
      <c r="BT45" s="20">
        <v>85</v>
      </c>
      <c r="BU45" s="20">
        <v>81</v>
      </c>
      <c r="BV45" s="20">
        <v>91</v>
      </c>
      <c r="BW45" s="20">
        <v>98</v>
      </c>
      <c r="BX45" s="20">
        <v>223</v>
      </c>
      <c r="BY45" s="20">
        <v>174</v>
      </c>
      <c r="BZ45" s="33">
        <f t="shared" si="27"/>
        <v>0.5617128463476071</v>
      </c>
      <c r="CA45" s="23">
        <v>-2.37</v>
      </c>
      <c r="CB45" s="39">
        <f t="shared" si="28"/>
        <v>1.1326744349035849</v>
      </c>
      <c r="CC45" s="38">
        <f t="shared" si="29"/>
        <v>2.9164064746445471</v>
      </c>
      <c r="CD45" s="38">
        <f t="shared" si="30"/>
        <v>1.9138917489854839</v>
      </c>
      <c r="CE45" s="32">
        <f t="shared" si="31"/>
        <v>33.569053692523177</v>
      </c>
      <c r="CF45" s="32">
        <f t="shared" si="32"/>
        <v>26.855242954018536</v>
      </c>
      <c r="CG45" s="32">
        <f t="shared" si="33"/>
        <v>60.211642007765548</v>
      </c>
      <c r="CH45" s="32">
        <f t="shared" si="34"/>
        <v>49.032083854961449</v>
      </c>
      <c r="CI45" s="32">
        <f t="shared" si="35"/>
        <v>-8.1495101770444833</v>
      </c>
      <c r="CJ45">
        <v>1975.0333330000001</v>
      </c>
      <c r="CK45">
        <v>96</v>
      </c>
      <c r="CL45">
        <v>63</v>
      </c>
      <c r="CM45" s="35">
        <v>1009</v>
      </c>
      <c r="CN45">
        <v>821</v>
      </c>
      <c r="CO45">
        <v>377</v>
      </c>
      <c r="CP45">
        <v>317</v>
      </c>
      <c r="CQ45">
        <v>500</v>
      </c>
      <c r="CR45">
        <v>413</v>
      </c>
      <c r="CS45" s="20">
        <v>4</v>
      </c>
      <c r="CT45" s="20">
        <v>11</v>
      </c>
      <c r="CU45" s="35">
        <f t="shared" si="36"/>
        <v>7</v>
      </c>
      <c r="CV45" s="38">
        <f t="shared" si="37"/>
        <v>0.49049662783568365</v>
      </c>
      <c r="CW45" s="38">
        <f t="shared" si="38"/>
        <v>1.3488657265481301</v>
      </c>
      <c r="CX45" s="38">
        <f t="shared" si="39"/>
        <v>0.85836909871244649</v>
      </c>
      <c r="CY45" s="40">
        <v>20.309999999999999</v>
      </c>
      <c r="CZ45" s="40">
        <v>15.87</v>
      </c>
      <c r="DA45" s="40">
        <v>17.71</v>
      </c>
      <c r="DB45" s="40">
        <v>12.27</v>
      </c>
      <c r="DC45" s="40">
        <v>18.16</v>
      </c>
      <c r="DD45" s="40">
        <v>17.41</v>
      </c>
      <c r="DE45">
        <v>1</v>
      </c>
      <c r="DF45">
        <v>2</v>
      </c>
      <c r="DG45" s="33">
        <f t="shared" si="40"/>
        <v>0.33333333333333331</v>
      </c>
      <c r="DH45">
        <v>0</v>
      </c>
      <c r="DI45">
        <v>-0.76</v>
      </c>
      <c r="DJ45">
        <v>1</v>
      </c>
      <c r="DK45">
        <v>0</v>
      </c>
      <c r="DL45">
        <v>2</v>
      </c>
      <c r="DM45" s="1" t="s">
        <v>322</v>
      </c>
      <c r="DN45" t="s">
        <v>323</v>
      </c>
    </row>
    <row r="46" spans="1:118" x14ac:dyDescent="0.25">
      <c r="A46" t="s">
        <v>324</v>
      </c>
      <c r="B46" t="s">
        <v>325</v>
      </c>
      <c r="C46" s="1" t="s">
        <v>136</v>
      </c>
      <c r="D46" s="2" t="s">
        <v>142</v>
      </c>
      <c r="E46">
        <v>51</v>
      </c>
      <c r="F46">
        <f>(11/51)</f>
        <v>0.21568627450980393</v>
      </c>
      <c r="G46" t="s">
        <v>544</v>
      </c>
      <c r="H46">
        <f>(10/55)</f>
        <v>0.18181818181818182</v>
      </c>
      <c r="I46">
        <v>2</v>
      </c>
      <c r="J46">
        <v>6</v>
      </c>
      <c r="K46" s="29">
        <f t="shared" si="0"/>
        <v>8</v>
      </c>
      <c r="L46" s="30">
        <f t="shared" si="1"/>
        <v>0.58379956215032847</v>
      </c>
      <c r="M46" s="20">
        <v>2</v>
      </c>
      <c r="N46" s="20">
        <v>2</v>
      </c>
      <c r="O46" s="20">
        <v>4</v>
      </c>
      <c r="P46" s="20">
        <v>51</v>
      </c>
      <c r="Q46" s="20">
        <v>36</v>
      </c>
      <c r="R46" s="20">
        <v>52</v>
      </c>
      <c r="S46" s="20">
        <v>34</v>
      </c>
      <c r="T46" s="31">
        <f t="shared" si="2"/>
        <v>3.9215686274509803E-2</v>
      </c>
      <c r="U46" s="31">
        <f t="shared" si="3"/>
        <v>1.4388489208633094E-2</v>
      </c>
      <c r="V46">
        <v>49332</v>
      </c>
      <c r="W46" s="32">
        <f t="shared" si="4"/>
        <v>16.12156862745098</v>
      </c>
      <c r="X46" s="23">
        <v>787.24</v>
      </c>
      <c r="Y46" s="32">
        <f t="shared" si="5"/>
        <v>15.436078431372549</v>
      </c>
      <c r="Z46" s="23">
        <v>1692.74</v>
      </c>
      <c r="AA46" s="32">
        <f t="shared" si="6"/>
        <v>33.19098039215686</v>
      </c>
      <c r="AB46" s="33">
        <f t="shared" si="7"/>
        <v>0.31743804385519236</v>
      </c>
      <c r="AC46" s="34">
        <f t="shared" si="8"/>
        <v>27.925925925925924</v>
      </c>
      <c r="AD46" s="20">
        <v>65</v>
      </c>
      <c r="AE46" s="20">
        <v>67</v>
      </c>
      <c r="AF46" s="20">
        <v>118</v>
      </c>
      <c r="AG46" s="20">
        <v>35</v>
      </c>
      <c r="AH46" s="20">
        <v>15</v>
      </c>
      <c r="AI46" s="31">
        <f t="shared" si="9"/>
        <v>7.407407407407407E-2</v>
      </c>
      <c r="AJ46" s="31">
        <f t="shared" si="10"/>
        <v>0.22222222222222221</v>
      </c>
      <c r="AK46" s="31">
        <f t="shared" si="11"/>
        <v>0.29629629629629628</v>
      </c>
      <c r="AL46" s="20">
        <v>237</v>
      </c>
      <c r="AM46" s="33">
        <f t="shared" si="12"/>
        <v>0.31432360742705573</v>
      </c>
      <c r="AN46" s="20">
        <v>244</v>
      </c>
      <c r="AO46" s="33">
        <f t="shared" si="13"/>
        <v>0.32360742705570295</v>
      </c>
      <c r="AP46" s="20">
        <v>273</v>
      </c>
      <c r="AQ46" s="33">
        <f t="shared" si="14"/>
        <v>0.36206896551724138</v>
      </c>
      <c r="AR46" s="33">
        <f t="shared" si="15"/>
        <v>0.49272349272349275</v>
      </c>
      <c r="AS46" s="1">
        <v>5</v>
      </c>
      <c r="AT46" s="23">
        <v>2.04</v>
      </c>
      <c r="AU46" s="20">
        <v>17.39</v>
      </c>
      <c r="AV46" s="35">
        <v>4</v>
      </c>
      <c r="AW46" s="36">
        <v>0.42899999999999999</v>
      </c>
      <c r="AX46" s="1">
        <v>4</v>
      </c>
      <c r="AY46" s="36">
        <v>0.28800000000000003</v>
      </c>
      <c r="AZ46" s="20">
        <v>50.06</v>
      </c>
      <c r="BA46" s="20">
        <v>16.600000000000001</v>
      </c>
      <c r="BB46" s="36">
        <v>0.45300000000000001</v>
      </c>
      <c r="BC46" s="36">
        <v>-2.4529999999999998</v>
      </c>
      <c r="BD46" s="20">
        <v>48.48</v>
      </c>
      <c r="BE46" s="33">
        <f t="shared" si="16"/>
        <v>7.161803713527852E-2</v>
      </c>
      <c r="BF46" s="37">
        <f t="shared" si="17"/>
        <v>0.93296089385474856</v>
      </c>
      <c r="BG46" s="35">
        <f t="shared" si="18"/>
        <v>1004.5789309900271</v>
      </c>
      <c r="BH46" s="33">
        <f t="shared" si="19"/>
        <v>4.578930990027083E-3</v>
      </c>
      <c r="BI46" s="38">
        <f t="shared" si="20"/>
        <v>2.0578222651288045</v>
      </c>
      <c r="BJ46" s="38">
        <f t="shared" si="21"/>
        <v>1.8291753467811593</v>
      </c>
      <c r="BK46" s="32">
        <f t="shared" si="22"/>
        <v>28.733296072354047</v>
      </c>
      <c r="BL46" s="32">
        <f t="shared" si="23"/>
        <v>27.285198922818964</v>
      </c>
      <c r="BM46" s="32">
        <f t="shared" si="24"/>
        <v>55.332554240130072</v>
      </c>
      <c r="BN46" s="32">
        <f t="shared" si="25"/>
        <v>51.140694070423251</v>
      </c>
      <c r="BO46" s="32">
        <f t="shared" si="26"/>
        <v>4.1918601697068212</v>
      </c>
      <c r="BP46" s="20">
        <v>27</v>
      </c>
      <c r="BQ46" s="20">
        <v>24</v>
      </c>
      <c r="BR46" s="35">
        <v>350</v>
      </c>
      <c r="BS46" s="35">
        <v>334</v>
      </c>
      <c r="BT46" s="20">
        <v>147</v>
      </c>
      <c r="BU46" s="20">
        <v>132</v>
      </c>
      <c r="BV46" s="20">
        <v>202</v>
      </c>
      <c r="BW46" s="20">
        <v>181</v>
      </c>
      <c r="BX46" s="20">
        <v>337</v>
      </c>
      <c r="BY46" s="20">
        <v>303</v>
      </c>
      <c r="BZ46" s="33">
        <f t="shared" si="27"/>
        <v>0.52656250000000004</v>
      </c>
      <c r="CA46" s="23">
        <v>3.65</v>
      </c>
      <c r="CB46" s="39">
        <f t="shared" si="28"/>
        <v>7.0174963443429945</v>
      </c>
      <c r="CC46" s="38">
        <f t="shared" si="29"/>
        <v>1.9365118274298321</v>
      </c>
      <c r="CD46" s="38">
        <f t="shared" si="30"/>
        <v>2.5493320259835763</v>
      </c>
      <c r="CE46" s="32">
        <f t="shared" si="31"/>
        <v>28.31229317318299</v>
      </c>
      <c r="CF46" s="32">
        <f t="shared" si="32"/>
        <v>29.979164113249176</v>
      </c>
      <c r="CG46" s="32">
        <f t="shared" si="33"/>
        <v>54.516484863341098</v>
      </c>
      <c r="CH46" s="32">
        <f t="shared" si="34"/>
        <v>55.546022796911387</v>
      </c>
      <c r="CI46" s="32">
        <f t="shared" si="35"/>
        <v>5.2213981032771102</v>
      </c>
      <c r="CJ46">
        <v>2447.6999999999998</v>
      </c>
      <c r="CK46">
        <v>79</v>
      </c>
      <c r="CL46">
        <v>104</v>
      </c>
      <c r="CM46" s="35">
        <v>1076</v>
      </c>
      <c r="CN46">
        <v>1119</v>
      </c>
      <c r="CO46">
        <v>443</v>
      </c>
      <c r="CP46">
        <v>442</v>
      </c>
      <c r="CQ46">
        <v>626</v>
      </c>
      <c r="CR46">
        <v>601</v>
      </c>
      <c r="CS46" s="20">
        <v>7</v>
      </c>
      <c r="CT46" s="20">
        <v>2</v>
      </c>
      <c r="CU46" s="35">
        <f t="shared" si="36"/>
        <v>-5</v>
      </c>
      <c r="CV46" s="38">
        <f t="shared" si="37"/>
        <v>0.51082461688153735</v>
      </c>
      <c r="CW46" s="38">
        <f t="shared" si="38"/>
        <v>0.14594989053758212</v>
      </c>
      <c r="CX46" s="38">
        <f t="shared" si="39"/>
        <v>-0.36487472634395529</v>
      </c>
      <c r="CY46" s="40">
        <v>27.53</v>
      </c>
      <c r="CZ46" s="40">
        <v>26.03</v>
      </c>
      <c r="DA46" s="40">
        <v>38.33</v>
      </c>
      <c r="DB46" s="40">
        <v>40.61</v>
      </c>
      <c r="DC46" s="40">
        <v>31.19</v>
      </c>
      <c r="DD46" s="40">
        <v>32.909999999999997</v>
      </c>
      <c r="DE46">
        <v>0</v>
      </c>
      <c r="DF46">
        <v>0</v>
      </c>
      <c r="DG46" s="33" t="str">
        <f t="shared" si="40"/>
        <v xml:space="preserve"> </v>
      </c>
      <c r="DH46">
        <v>0</v>
      </c>
      <c r="DI46">
        <v>0</v>
      </c>
      <c r="DJ46">
        <v>0</v>
      </c>
      <c r="DK46">
        <v>0</v>
      </c>
      <c r="DL46">
        <v>0</v>
      </c>
      <c r="DM46" s="1" t="s">
        <v>326</v>
      </c>
      <c r="DN46" t="s">
        <v>327</v>
      </c>
    </row>
    <row r="47" spans="1:118" x14ac:dyDescent="0.25">
      <c r="A47" t="s">
        <v>271</v>
      </c>
      <c r="B47" t="s">
        <v>328</v>
      </c>
      <c r="C47" s="1" t="s">
        <v>329</v>
      </c>
      <c r="D47" s="2" t="s">
        <v>3</v>
      </c>
      <c r="E47">
        <v>55</v>
      </c>
      <c r="F47">
        <f>(11/55)</f>
        <v>0.2</v>
      </c>
      <c r="G47" t="s">
        <v>545</v>
      </c>
      <c r="H47">
        <f>(41/50)</f>
        <v>0.82</v>
      </c>
      <c r="I47">
        <v>4</v>
      </c>
      <c r="J47">
        <v>7</v>
      </c>
      <c r="K47" s="29">
        <f t="shared" si="0"/>
        <v>11</v>
      </c>
      <c r="L47" s="30">
        <f t="shared" si="1"/>
        <v>1.09244392948771</v>
      </c>
      <c r="M47" s="20">
        <v>4</v>
      </c>
      <c r="N47" s="20">
        <v>4</v>
      </c>
      <c r="O47" s="20">
        <v>3</v>
      </c>
      <c r="P47" s="20">
        <v>44</v>
      </c>
      <c r="Q47" s="20">
        <v>22</v>
      </c>
      <c r="R47" s="20">
        <v>13</v>
      </c>
      <c r="S47" s="20">
        <v>42</v>
      </c>
      <c r="T47" s="31">
        <f t="shared" si="2"/>
        <v>9.0909090909090912E-2</v>
      </c>
      <c r="U47" s="31">
        <f t="shared" si="3"/>
        <v>5.0632911392405063E-2</v>
      </c>
      <c r="V47">
        <v>36249</v>
      </c>
      <c r="W47" s="32">
        <f t="shared" si="4"/>
        <v>10.984545454545456</v>
      </c>
      <c r="X47" s="23">
        <v>594.34</v>
      </c>
      <c r="Y47" s="32">
        <f t="shared" si="5"/>
        <v>10.806181818181818</v>
      </c>
      <c r="Z47" s="23">
        <v>2029.45</v>
      </c>
      <c r="AA47" s="32">
        <f t="shared" si="6"/>
        <v>36.899090909090908</v>
      </c>
      <c r="AB47" s="33">
        <f t="shared" si="7"/>
        <v>0.22651965286856035</v>
      </c>
      <c r="AC47" s="34">
        <f t="shared" si="8"/>
        <v>43.789473684210527</v>
      </c>
      <c r="AD47" s="20">
        <v>27</v>
      </c>
      <c r="AE47" s="20">
        <v>155</v>
      </c>
      <c r="AF47" s="20">
        <v>69</v>
      </c>
      <c r="AG47" s="20">
        <v>5</v>
      </c>
      <c r="AH47" s="20">
        <v>11</v>
      </c>
      <c r="AI47" s="31">
        <f t="shared" si="9"/>
        <v>0.21052631578947367</v>
      </c>
      <c r="AJ47" s="31">
        <f t="shared" si="10"/>
        <v>0.36842105263157893</v>
      </c>
      <c r="AK47" s="31">
        <f t="shared" si="11"/>
        <v>0.57894736842105265</v>
      </c>
      <c r="AL47" s="20">
        <v>138</v>
      </c>
      <c r="AM47" s="33">
        <f t="shared" si="12"/>
        <v>0.25988700564971751</v>
      </c>
      <c r="AN47" s="20">
        <v>192</v>
      </c>
      <c r="AO47" s="33">
        <f t="shared" si="13"/>
        <v>0.3615819209039548</v>
      </c>
      <c r="AP47" s="20">
        <v>201</v>
      </c>
      <c r="AQ47" s="33">
        <f t="shared" si="14"/>
        <v>0.37853107344632769</v>
      </c>
      <c r="AR47" s="33">
        <f t="shared" si="15"/>
        <v>0.41818181818181815</v>
      </c>
      <c r="AS47" s="1">
        <v>5</v>
      </c>
      <c r="AT47" s="23">
        <v>-8.2200000000000006</v>
      </c>
      <c r="AU47" s="20">
        <v>17.22</v>
      </c>
      <c r="AV47" s="35">
        <v>11</v>
      </c>
      <c r="AW47" s="36">
        <v>0.54800000000000004</v>
      </c>
      <c r="AX47" s="1">
        <v>8</v>
      </c>
      <c r="AY47" s="36">
        <v>1.1719999999999999</v>
      </c>
      <c r="AZ47" s="20">
        <v>50.44</v>
      </c>
      <c r="BA47" s="20">
        <v>17.87</v>
      </c>
      <c r="BB47" s="36">
        <v>0.433</v>
      </c>
      <c r="BC47" s="36">
        <v>-11.903</v>
      </c>
      <c r="BD47" s="20">
        <v>44.44</v>
      </c>
      <c r="BE47" s="33">
        <f t="shared" si="16"/>
        <v>9.1346153846153841E-2</v>
      </c>
      <c r="BF47" s="37">
        <f t="shared" si="17"/>
        <v>0.9257950530035336</v>
      </c>
      <c r="BG47" s="35">
        <f t="shared" si="18"/>
        <v>1017.1412068496874</v>
      </c>
      <c r="BH47" s="33">
        <f t="shared" si="19"/>
        <v>1.7141206849687438E-2</v>
      </c>
      <c r="BI47" s="38">
        <f t="shared" si="20"/>
        <v>1.918094020257765</v>
      </c>
      <c r="BJ47" s="38">
        <f t="shared" si="21"/>
        <v>2.1199986539691085</v>
      </c>
      <c r="BK47" s="32">
        <f t="shared" si="22"/>
        <v>20.998081905979742</v>
      </c>
      <c r="BL47" s="32">
        <f t="shared" si="23"/>
        <v>28.569505670155131</v>
      </c>
      <c r="BM47" s="32">
        <f t="shared" si="24"/>
        <v>42.500925396237839</v>
      </c>
      <c r="BN47" s="32">
        <f t="shared" si="25"/>
        <v>57.340915974021598</v>
      </c>
      <c r="BO47" s="32">
        <f t="shared" si="26"/>
        <v>-14.839990577783759</v>
      </c>
      <c r="BP47" s="20">
        <v>19</v>
      </c>
      <c r="BQ47" s="20">
        <v>21</v>
      </c>
      <c r="BR47" s="35">
        <v>189</v>
      </c>
      <c r="BS47" s="35">
        <v>262</v>
      </c>
      <c r="BT47" s="20">
        <v>95</v>
      </c>
      <c r="BU47" s="20">
        <v>123</v>
      </c>
      <c r="BV47" s="20">
        <v>118</v>
      </c>
      <c r="BW47" s="20">
        <v>162</v>
      </c>
      <c r="BX47" s="20">
        <v>193</v>
      </c>
      <c r="BY47" s="20">
        <v>263</v>
      </c>
      <c r="BZ47" s="33">
        <f t="shared" si="27"/>
        <v>0.4232456140350877</v>
      </c>
      <c r="CA47" s="23">
        <v>-0.79</v>
      </c>
      <c r="CB47" s="39">
        <f t="shared" si="28"/>
        <v>0.10864578585260887</v>
      </c>
      <c r="CC47" s="38">
        <f t="shared" si="29"/>
        <v>2.1701333804370555</v>
      </c>
      <c r="CD47" s="38">
        <f t="shared" si="30"/>
        <v>2.1244463619015383</v>
      </c>
      <c r="CE47" s="32">
        <f t="shared" si="31"/>
        <v>27.069558482293797</v>
      </c>
      <c r="CF47" s="32">
        <f t="shared" si="32"/>
        <v>31.70679086364877</v>
      </c>
      <c r="CG47" s="32">
        <f t="shared" si="33"/>
        <v>48.725205268128839</v>
      </c>
      <c r="CH47" s="32">
        <f t="shared" si="34"/>
        <v>61.677475022947888</v>
      </c>
      <c r="CI47" s="32">
        <f t="shared" si="35"/>
        <v>-1.8877208229647096</v>
      </c>
      <c r="CJ47">
        <v>2626.5666670000001</v>
      </c>
      <c r="CK47">
        <v>95</v>
      </c>
      <c r="CL47">
        <v>93</v>
      </c>
      <c r="CM47" s="35">
        <v>1090</v>
      </c>
      <c r="CN47">
        <v>1295</v>
      </c>
      <c r="CO47">
        <v>430</v>
      </c>
      <c r="CP47">
        <v>566</v>
      </c>
      <c r="CQ47">
        <v>518</v>
      </c>
      <c r="CR47">
        <v>746</v>
      </c>
      <c r="CS47" s="20">
        <v>8</v>
      </c>
      <c r="CT47" s="20">
        <v>7</v>
      </c>
      <c r="CU47" s="35">
        <f t="shared" si="36"/>
        <v>-1</v>
      </c>
      <c r="CV47" s="38">
        <f t="shared" si="37"/>
        <v>0.79450467599106167</v>
      </c>
      <c r="CW47" s="38">
        <f t="shared" si="38"/>
        <v>0.69519159149217891</v>
      </c>
      <c r="CX47" s="38">
        <f t="shared" si="39"/>
        <v>-9.9313084498882709E-2</v>
      </c>
      <c r="CY47" s="40">
        <v>14.59</v>
      </c>
      <c r="CZ47" s="40">
        <v>22.06</v>
      </c>
      <c r="DA47" s="40">
        <v>21.97</v>
      </c>
      <c r="DB47" s="40">
        <v>33.69</v>
      </c>
      <c r="DC47" s="40">
        <v>21.21</v>
      </c>
      <c r="DD47" s="40">
        <v>25.45</v>
      </c>
      <c r="DE47">
        <v>1</v>
      </c>
      <c r="DF47">
        <v>3</v>
      </c>
      <c r="DG47" s="33">
        <f t="shared" si="40"/>
        <v>0.25</v>
      </c>
      <c r="DH47">
        <v>-1.01</v>
      </c>
      <c r="DI47">
        <v>-0.49</v>
      </c>
      <c r="DJ47">
        <v>3</v>
      </c>
      <c r="DK47">
        <v>0</v>
      </c>
      <c r="DL47">
        <v>1</v>
      </c>
      <c r="DM47" s="1" t="s">
        <v>330</v>
      </c>
      <c r="DN47" t="s">
        <v>331</v>
      </c>
    </row>
    <row r="48" spans="1:118" x14ac:dyDescent="0.25">
      <c r="A48" t="s">
        <v>332</v>
      </c>
      <c r="B48" t="s">
        <v>333</v>
      </c>
      <c r="C48" s="1" t="s">
        <v>147</v>
      </c>
      <c r="D48" s="2" t="s">
        <v>142</v>
      </c>
      <c r="E48">
        <v>66</v>
      </c>
      <c r="F48">
        <f>(11/66)</f>
        <v>0.16666666666666666</v>
      </c>
      <c r="G48" t="s">
        <v>544</v>
      </c>
      <c r="H48">
        <f>(20/51)</f>
        <v>0.39215686274509803</v>
      </c>
      <c r="I48">
        <v>2</v>
      </c>
      <c r="J48">
        <v>8</v>
      </c>
      <c r="K48" s="29">
        <f t="shared" si="0"/>
        <v>10</v>
      </c>
      <c r="L48" s="30">
        <f t="shared" si="1"/>
        <v>0.61965333838236059</v>
      </c>
      <c r="M48" s="20">
        <v>2</v>
      </c>
      <c r="N48" s="20">
        <v>4</v>
      </c>
      <c r="O48" s="20">
        <v>4</v>
      </c>
      <c r="P48" s="20">
        <v>37</v>
      </c>
      <c r="Q48" s="20">
        <v>28</v>
      </c>
      <c r="R48" s="20">
        <v>39</v>
      </c>
      <c r="S48" s="20">
        <v>28</v>
      </c>
      <c r="T48" s="31">
        <f t="shared" si="2"/>
        <v>5.4054054054054057E-2</v>
      </c>
      <c r="U48" s="31">
        <f t="shared" si="3"/>
        <v>1.9230769230769232E-2</v>
      </c>
      <c r="V48">
        <v>58097</v>
      </c>
      <c r="W48" s="32">
        <f t="shared" si="4"/>
        <v>14.670959595959596</v>
      </c>
      <c r="X48" s="23">
        <v>942.75</v>
      </c>
      <c r="Y48" s="32">
        <f t="shared" si="5"/>
        <v>14.284090909090908</v>
      </c>
      <c r="Z48" s="23">
        <v>2173.02</v>
      </c>
      <c r="AA48" s="32">
        <f t="shared" si="6"/>
        <v>32.924545454545452</v>
      </c>
      <c r="AB48" s="33">
        <f t="shared" si="7"/>
        <v>0.30257368162605069</v>
      </c>
      <c r="AC48" s="34">
        <f t="shared" si="8"/>
        <v>55.354838709677423</v>
      </c>
      <c r="AD48" s="20">
        <v>61</v>
      </c>
      <c r="AE48" s="20">
        <v>35</v>
      </c>
      <c r="AF48" s="20">
        <v>86</v>
      </c>
      <c r="AG48" s="20">
        <v>24</v>
      </c>
      <c r="AH48" s="20">
        <v>6</v>
      </c>
      <c r="AI48" s="31">
        <f t="shared" si="9"/>
        <v>6.4516129032258063E-2</v>
      </c>
      <c r="AJ48" s="31">
        <f t="shared" si="10"/>
        <v>0.25806451612903225</v>
      </c>
      <c r="AK48" s="31">
        <f t="shared" si="11"/>
        <v>0.32258064516129031</v>
      </c>
      <c r="AL48" s="20">
        <v>265</v>
      </c>
      <c r="AM48" s="33">
        <f t="shared" si="12"/>
        <v>0.31585220500595945</v>
      </c>
      <c r="AN48" s="20">
        <v>290</v>
      </c>
      <c r="AO48" s="33">
        <f t="shared" si="13"/>
        <v>0.34564958283671038</v>
      </c>
      <c r="AP48" s="20">
        <v>284</v>
      </c>
      <c r="AQ48" s="33">
        <f t="shared" si="14"/>
        <v>0.33849821215733017</v>
      </c>
      <c r="AR48" s="33">
        <f t="shared" si="15"/>
        <v>0.47747747747747749</v>
      </c>
      <c r="AS48" s="1">
        <v>2</v>
      </c>
      <c r="AT48" s="23">
        <v>-7.89</v>
      </c>
      <c r="AU48" s="20">
        <v>17.329999999999998</v>
      </c>
      <c r="AV48" s="35">
        <v>5</v>
      </c>
      <c r="AW48" s="36">
        <v>0.56000000000000005</v>
      </c>
      <c r="AX48" s="1">
        <v>5</v>
      </c>
      <c r="AY48" s="36">
        <v>-0.53500000000000003</v>
      </c>
      <c r="AZ48" s="20">
        <v>49.91</v>
      </c>
      <c r="BA48" s="20">
        <v>16.57</v>
      </c>
      <c r="BB48" s="36">
        <v>1.196</v>
      </c>
      <c r="BC48" s="36">
        <v>4.173</v>
      </c>
      <c r="BD48" s="20">
        <v>52.09</v>
      </c>
      <c r="BE48" s="33">
        <f t="shared" si="16"/>
        <v>7.2261072261072257E-2</v>
      </c>
      <c r="BF48" s="37">
        <f t="shared" si="17"/>
        <v>0.93096234309623427</v>
      </c>
      <c r="BG48" s="35">
        <f t="shared" si="18"/>
        <v>1003.2234153573065</v>
      </c>
      <c r="BH48" s="33">
        <f t="shared" si="19"/>
        <v>3.223415357306525E-3</v>
      </c>
      <c r="BI48" s="38">
        <f t="shared" si="20"/>
        <v>1.9729514717581542</v>
      </c>
      <c r="BJ48" s="38">
        <f t="shared" si="21"/>
        <v>2.100238663484487</v>
      </c>
      <c r="BK48" s="32">
        <f t="shared" si="22"/>
        <v>27.30310262529833</v>
      </c>
      <c r="BL48" s="32">
        <f t="shared" si="23"/>
        <v>30.421638822593479</v>
      </c>
      <c r="BM48" s="32">
        <f t="shared" si="24"/>
        <v>52.569610182975339</v>
      </c>
      <c r="BN48" s="32">
        <f t="shared" si="25"/>
        <v>50.469371519490849</v>
      </c>
      <c r="BO48" s="32">
        <f t="shared" si="26"/>
        <v>2.1002386634844896</v>
      </c>
      <c r="BP48" s="20">
        <v>31</v>
      </c>
      <c r="BQ48" s="20">
        <v>33</v>
      </c>
      <c r="BR48" s="35">
        <v>398</v>
      </c>
      <c r="BS48" s="35">
        <v>445</v>
      </c>
      <c r="BT48" s="20">
        <v>180</v>
      </c>
      <c r="BU48" s="20">
        <v>151</v>
      </c>
      <c r="BV48" s="20">
        <v>217</v>
      </c>
      <c r="BW48" s="20">
        <v>164</v>
      </c>
      <c r="BX48" s="20">
        <v>383</v>
      </c>
      <c r="BY48" s="20">
        <v>402</v>
      </c>
      <c r="BZ48" s="33">
        <f t="shared" si="27"/>
        <v>0.48789808917197452</v>
      </c>
      <c r="CA48" s="23">
        <v>-3.29</v>
      </c>
      <c r="CB48" s="39">
        <f t="shared" si="28"/>
        <v>-2.1572207959749701</v>
      </c>
      <c r="CC48" s="38">
        <f t="shared" si="29"/>
        <v>1.9997756661912927</v>
      </c>
      <c r="CD48" s="38">
        <f t="shared" si="30"/>
        <v>2.019004278366209</v>
      </c>
      <c r="CE48" s="32">
        <f t="shared" si="31"/>
        <v>29.112118832823242</v>
      </c>
      <c r="CF48" s="32">
        <f t="shared" si="32"/>
        <v>28.862146874549332</v>
      </c>
      <c r="CG48" s="32">
        <f t="shared" si="33"/>
        <v>52.724854583620427</v>
      </c>
      <c r="CH48" s="32">
        <f t="shared" si="34"/>
        <v>49.090646882561252</v>
      </c>
      <c r="CI48" s="32">
        <f t="shared" si="35"/>
        <v>-1.5339690375746855</v>
      </c>
      <c r="CJ48">
        <v>3120.35</v>
      </c>
      <c r="CK48">
        <v>104</v>
      </c>
      <c r="CL48">
        <v>105</v>
      </c>
      <c r="CM48" s="35">
        <v>1410</v>
      </c>
      <c r="CN48">
        <v>1396</v>
      </c>
      <c r="CO48">
        <v>559</v>
      </c>
      <c r="CP48">
        <v>531</v>
      </c>
      <c r="CQ48">
        <v>669</v>
      </c>
      <c r="CR48">
        <v>521</v>
      </c>
      <c r="CS48" s="20">
        <v>2</v>
      </c>
      <c r="CT48" s="20">
        <v>7</v>
      </c>
      <c r="CU48" s="35">
        <f t="shared" si="36"/>
        <v>5</v>
      </c>
      <c r="CV48" s="38">
        <f t="shared" si="37"/>
        <v>0.12393066767647211</v>
      </c>
      <c r="CW48" s="38">
        <f t="shared" si="38"/>
        <v>0.43375733686765239</v>
      </c>
      <c r="CX48" s="38">
        <f t="shared" si="39"/>
        <v>0.30982666919118029</v>
      </c>
      <c r="CY48" s="40">
        <v>31.28</v>
      </c>
      <c r="CZ48" s="40">
        <v>34.06</v>
      </c>
      <c r="DA48" s="40">
        <v>30.94</v>
      </c>
      <c r="DB48" s="40">
        <v>36.33</v>
      </c>
      <c r="DC48" s="40">
        <v>40.85</v>
      </c>
      <c r="DD48" s="40">
        <v>34.14</v>
      </c>
      <c r="DE48">
        <v>0</v>
      </c>
      <c r="DF48">
        <v>0</v>
      </c>
      <c r="DG48" s="33" t="str">
        <f t="shared" si="40"/>
        <v xml:space="preserve"> </v>
      </c>
      <c r="DH48">
        <v>0</v>
      </c>
      <c r="DI48">
        <v>0</v>
      </c>
      <c r="DJ48">
        <v>0</v>
      </c>
      <c r="DK48">
        <v>0</v>
      </c>
      <c r="DL48">
        <v>0</v>
      </c>
      <c r="DM48" s="1" t="s">
        <v>334</v>
      </c>
      <c r="DN48" t="s">
        <v>335</v>
      </c>
    </row>
    <row r="49" spans="1:118" x14ac:dyDescent="0.25">
      <c r="A49" t="s">
        <v>336</v>
      </c>
      <c r="B49" t="s">
        <v>337</v>
      </c>
      <c r="C49" s="1" t="s">
        <v>338</v>
      </c>
      <c r="D49" s="2" t="s">
        <v>131</v>
      </c>
      <c r="E49">
        <v>60</v>
      </c>
      <c r="F49">
        <f>(10/60)</f>
        <v>0.16666666666666666</v>
      </c>
      <c r="G49" t="s">
        <v>544</v>
      </c>
      <c r="H49">
        <f>(35/76)</f>
        <v>0.46052631578947367</v>
      </c>
      <c r="I49">
        <v>8</v>
      </c>
      <c r="J49">
        <v>2</v>
      </c>
      <c r="K49" s="29">
        <f t="shared" si="0"/>
        <v>10</v>
      </c>
      <c r="L49" s="30">
        <f t="shared" si="1"/>
        <v>1.1552902666795033</v>
      </c>
      <c r="M49" s="20">
        <v>8</v>
      </c>
      <c r="N49" s="20">
        <v>2</v>
      </c>
      <c r="O49" s="20">
        <v>0</v>
      </c>
      <c r="P49" s="20">
        <v>37</v>
      </c>
      <c r="Q49" s="20">
        <v>18</v>
      </c>
      <c r="R49" s="20">
        <v>22</v>
      </c>
      <c r="S49" s="20">
        <v>50</v>
      </c>
      <c r="T49" s="31">
        <f t="shared" si="2"/>
        <v>0.21621621621621623</v>
      </c>
      <c r="U49" s="31">
        <f t="shared" si="3"/>
        <v>0.1038961038961039</v>
      </c>
      <c r="V49">
        <v>31161</v>
      </c>
      <c r="W49" s="32">
        <f t="shared" si="4"/>
        <v>8.6558333333333337</v>
      </c>
      <c r="X49" s="23">
        <v>520.86</v>
      </c>
      <c r="Y49" s="32">
        <f t="shared" si="5"/>
        <v>8.6810000000000009</v>
      </c>
      <c r="Z49" s="23">
        <v>2372.7800000000002</v>
      </c>
      <c r="AA49" s="32">
        <f t="shared" si="6"/>
        <v>39.546333333333337</v>
      </c>
      <c r="AB49" s="33">
        <f t="shared" si="7"/>
        <v>0.18000165881035651</v>
      </c>
      <c r="AC49" s="34">
        <f t="shared" si="8"/>
        <v>31.733333333333334</v>
      </c>
      <c r="AD49" s="20">
        <v>11</v>
      </c>
      <c r="AE49" s="20">
        <v>81</v>
      </c>
      <c r="AF49" s="20">
        <v>51</v>
      </c>
      <c r="AG49" s="20">
        <v>12</v>
      </c>
      <c r="AH49" s="20">
        <v>12</v>
      </c>
      <c r="AI49" s="31">
        <f t="shared" si="9"/>
        <v>0.53333333333333333</v>
      </c>
      <c r="AJ49" s="31">
        <f t="shared" si="10"/>
        <v>0.13333333333333333</v>
      </c>
      <c r="AK49" s="31">
        <f t="shared" si="11"/>
        <v>0.66666666666666663</v>
      </c>
      <c r="AL49" s="20">
        <v>175</v>
      </c>
      <c r="AM49" s="33">
        <f t="shared" si="12"/>
        <v>0.39863325740318906</v>
      </c>
      <c r="AN49" s="20">
        <v>124</v>
      </c>
      <c r="AO49" s="33">
        <f t="shared" si="13"/>
        <v>0.28246013667425968</v>
      </c>
      <c r="AP49" s="20">
        <v>140</v>
      </c>
      <c r="AQ49" s="33">
        <f t="shared" si="14"/>
        <v>0.31890660592255127</v>
      </c>
      <c r="AR49" s="33">
        <f t="shared" si="15"/>
        <v>0.5852842809364549</v>
      </c>
      <c r="AS49" s="1">
        <v>13</v>
      </c>
      <c r="AT49" s="23">
        <v>2.78</v>
      </c>
      <c r="AU49" s="20">
        <v>16.739999999999998</v>
      </c>
      <c r="AV49" s="35">
        <v>14</v>
      </c>
      <c r="AW49" s="36">
        <v>-0.77800000000000002</v>
      </c>
      <c r="AX49" s="1">
        <v>15</v>
      </c>
      <c r="AY49" s="36">
        <v>-1.208</v>
      </c>
      <c r="AZ49" s="20">
        <v>49.47</v>
      </c>
      <c r="BA49" s="20">
        <v>16.8</v>
      </c>
      <c r="BB49" s="36">
        <v>-1.6579999999999999</v>
      </c>
      <c r="BC49" s="36">
        <v>11.425000000000001</v>
      </c>
      <c r="BD49" s="20">
        <v>54.94</v>
      </c>
      <c r="BE49" s="33">
        <f t="shared" si="16"/>
        <v>6.3025210084033612E-2</v>
      </c>
      <c r="BF49" s="37">
        <f t="shared" si="17"/>
        <v>0.94814814814814818</v>
      </c>
      <c r="BG49" s="35">
        <f t="shared" si="18"/>
        <v>1011.1733582321817</v>
      </c>
      <c r="BH49" s="33">
        <f t="shared" si="19"/>
        <v>1.1173358232181796E-2</v>
      </c>
      <c r="BI49" s="38">
        <f t="shared" si="20"/>
        <v>1.7279115309296162</v>
      </c>
      <c r="BJ49" s="38">
        <f t="shared" si="21"/>
        <v>1.6127174288676418</v>
      </c>
      <c r="BK49" s="32">
        <f t="shared" si="22"/>
        <v>27.416196290749912</v>
      </c>
      <c r="BL49" s="32">
        <f t="shared" si="23"/>
        <v>31.102407556733095</v>
      </c>
      <c r="BM49" s="32">
        <f t="shared" si="24"/>
        <v>54.947586683561802</v>
      </c>
      <c r="BN49" s="32">
        <f t="shared" si="25"/>
        <v>54.141227969127982</v>
      </c>
      <c r="BO49" s="32">
        <f t="shared" si="26"/>
        <v>0.80635871443382001</v>
      </c>
      <c r="BP49" s="20">
        <v>15</v>
      </c>
      <c r="BQ49" s="20">
        <v>14</v>
      </c>
      <c r="BR49" s="35">
        <v>223</v>
      </c>
      <c r="BS49" s="35">
        <v>256</v>
      </c>
      <c r="BT49" s="20">
        <v>116</v>
      </c>
      <c r="BU49" s="20">
        <v>87</v>
      </c>
      <c r="BV49" s="20">
        <v>123</v>
      </c>
      <c r="BW49" s="20">
        <v>113</v>
      </c>
      <c r="BX49" s="20">
        <v>220</v>
      </c>
      <c r="BY49" s="20">
        <v>237</v>
      </c>
      <c r="BZ49" s="33">
        <f t="shared" si="27"/>
        <v>0.48140043763676149</v>
      </c>
      <c r="CA49" s="23">
        <v>-7.4</v>
      </c>
      <c r="CB49" s="39">
        <f t="shared" si="28"/>
        <v>-13.963464028041098</v>
      </c>
      <c r="CC49" s="38">
        <f t="shared" si="29"/>
        <v>2.0955202206284853</v>
      </c>
      <c r="CD49" s="38">
        <f t="shared" si="30"/>
        <v>1.7635566213210025</v>
      </c>
      <c r="CE49" s="32">
        <f t="shared" si="31"/>
        <v>31.785514633691477</v>
      </c>
      <c r="CF49" s="32">
        <f t="shared" si="32"/>
        <v>27.200267418256875</v>
      </c>
      <c r="CG49" s="32">
        <f t="shared" si="33"/>
        <v>62.367661219893328</v>
      </c>
      <c r="CH49" s="32">
        <f t="shared" si="34"/>
        <v>49.026874072723871</v>
      </c>
      <c r="CI49" s="32">
        <f t="shared" si="35"/>
        <v>-12.534428432735638</v>
      </c>
      <c r="CJ49">
        <v>2891.8833330000002</v>
      </c>
      <c r="CK49">
        <v>101</v>
      </c>
      <c r="CL49">
        <v>85</v>
      </c>
      <c r="CM49" s="35">
        <v>1431</v>
      </c>
      <c r="CN49">
        <v>1226</v>
      </c>
      <c r="CO49">
        <v>708</v>
      </c>
      <c r="CP49">
        <v>491</v>
      </c>
      <c r="CQ49">
        <v>766</v>
      </c>
      <c r="CR49">
        <v>561</v>
      </c>
      <c r="CS49" s="20">
        <v>3</v>
      </c>
      <c r="CT49" s="20">
        <v>6</v>
      </c>
      <c r="CU49" s="35">
        <f t="shared" si="36"/>
        <v>3</v>
      </c>
      <c r="CV49" s="38">
        <f t="shared" si="37"/>
        <v>0.34658708000385091</v>
      </c>
      <c r="CW49" s="38">
        <f t="shared" si="38"/>
        <v>0.69317416000770182</v>
      </c>
      <c r="CX49" s="38">
        <f t="shared" si="39"/>
        <v>0.34658708000385091</v>
      </c>
      <c r="CY49" s="40">
        <v>17.46</v>
      </c>
      <c r="CZ49" s="40">
        <v>20.55</v>
      </c>
      <c r="DA49" s="40">
        <v>25.21</v>
      </c>
      <c r="DB49" s="40">
        <v>11.29</v>
      </c>
      <c r="DC49" s="40">
        <v>22.87</v>
      </c>
      <c r="DD49" s="40">
        <v>20.39</v>
      </c>
      <c r="DE49">
        <v>132</v>
      </c>
      <c r="DF49">
        <v>130</v>
      </c>
      <c r="DG49" s="33">
        <f t="shared" si="40"/>
        <v>0.50381679389312972</v>
      </c>
      <c r="DH49">
        <v>-0.25</v>
      </c>
      <c r="DI49">
        <v>1.81</v>
      </c>
      <c r="DJ49">
        <v>110</v>
      </c>
      <c r="DK49">
        <v>80</v>
      </c>
      <c r="DL49">
        <v>72</v>
      </c>
      <c r="DM49" s="1" t="s">
        <v>339</v>
      </c>
      <c r="DN49" t="s">
        <v>340</v>
      </c>
    </row>
    <row r="50" spans="1:118" x14ac:dyDescent="0.25">
      <c r="A50" t="s">
        <v>341</v>
      </c>
      <c r="B50" t="s">
        <v>342</v>
      </c>
      <c r="C50" s="1" t="s">
        <v>268</v>
      </c>
      <c r="D50" s="2" t="s">
        <v>3</v>
      </c>
      <c r="E50">
        <v>44</v>
      </c>
      <c r="F50">
        <f>(10/44)</f>
        <v>0.22727272727272727</v>
      </c>
      <c r="G50" t="s">
        <v>544</v>
      </c>
      <c r="H50">
        <f>(45/58)</f>
        <v>0.77586206896551724</v>
      </c>
      <c r="I50">
        <v>7</v>
      </c>
      <c r="J50">
        <v>3</v>
      </c>
      <c r="K50" s="29">
        <f t="shared" si="0"/>
        <v>10</v>
      </c>
      <c r="L50" s="30">
        <f t="shared" si="1"/>
        <v>1.5177065767284992</v>
      </c>
      <c r="M50" s="20">
        <v>7</v>
      </c>
      <c r="N50" s="20">
        <v>2</v>
      </c>
      <c r="O50" s="20">
        <v>1</v>
      </c>
      <c r="P50" s="20">
        <v>42</v>
      </c>
      <c r="Q50" s="20">
        <v>13</v>
      </c>
      <c r="R50" s="20">
        <v>20</v>
      </c>
      <c r="S50" s="20">
        <v>54</v>
      </c>
      <c r="T50" s="31">
        <f t="shared" si="2"/>
        <v>0.16666666666666666</v>
      </c>
      <c r="U50" s="31">
        <f t="shared" si="3"/>
        <v>9.3333333333333338E-2</v>
      </c>
      <c r="V50">
        <v>23720</v>
      </c>
      <c r="W50" s="32">
        <f t="shared" si="4"/>
        <v>8.9848484848484862</v>
      </c>
      <c r="X50" s="23">
        <v>386.59</v>
      </c>
      <c r="Y50" s="32">
        <f t="shared" si="5"/>
        <v>8.7861363636363627</v>
      </c>
      <c r="Z50" s="23">
        <v>1732.57</v>
      </c>
      <c r="AA50" s="32">
        <f t="shared" si="6"/>
        <v>39.376590909090908</v>
      </c>
      <c r="AB50" s="33">
        <f t="shared" si="7"/>
        <v>0.18242605560693861</v>
      </c>
      <c r="AC50" s="34">
        <f t="shared" si="8"/>
        <v>33.384615384615387</v>
      </c>
      <c r="AD50" s="20">
        <v>5</v>
      </c>
      <c r="AE50" s="20">
        <v>15</v>
      </c>
      <c r="AF50" s="20">
        <v>52</v>
      </c>
      <c r="AG50" s="20">
        <v>7</v>
      </c>
      <c r="AH50" s="20">
        <v>7</v>
      </c>
      <c r="AI50" s="31">
        <f t="shared" si="9"/>
        <v>0.53846153846153844</v>
      </c>
      <c r="AJ50" s="31">
        <f t="shared" si="10"/>
        <v>0.23076923076923078</v>
      </c>
      <c r="AK50" s="31">
        <f t="shared" si="11"/>
        <v>0.76923076923076916</v>
      </c>
      <c r="AL50" s="20">
        <v>121</v>
      </c>
      <c r="AM50" s="33">
        <f t="shared" si="12"/>
        <v>0.38050314465408808</v>
      </c>
      <c r="AN50" s="20">
        <v>74</v>
      </c>
      <c r="AO50" s="33">
        <f t="shared" si="13"/>
        <v>0.23270440251572327</v>
      </c>
      <c r="AP50" s="20">
        <v>123</v>
      </c>
      <c r="AQ50" s="33">
        <f t="shared" si="14"/>
        <v>0.3867924528301887</v>
      </c>
      <c r="AR50" s="33">
        <f t="shared" si="15"/>
        <v>0.62051282051282053</v>
      </c>
      <c r="AS50" s="1">
        <v>13</v>
      </c>
      <c r="AT50" s="23">
        <v>10.59</v>
      </c>
      <c r="AU50" s="20">
        <v>16.739999999999998</v>
      </c>
      <c r="AV50" s="35">
        <v>14</v>
      </c>
      <c r="AW50" s="36">
        <v>-0.373</v>
      </c>
      <c r="AX50" s="1">
        <v>15</v>
      </c>
      <c r="AY50" s="36">
        <v>-0.69700000000000006</v>
      </c>
      <c r="AZ50" s="20">
        <v>49.83</v>
      </c>
      <c r="BA50" s="20">
        <v>16.52</v>
      </c>
      <c r="BB50" s="36">
        <v>-0.58499999999999996</v>
      </c>
      <c r="BC50" s="36">
        <v>4.91</v>
      </c>
      <c r="BD50" s="20">
        <v>51.67</v>
      </c>
      <c r="BE50" s="33">
        <f t="shared" si="16"/>
        <v>5.9907834101382486E-2</v>
      </c>
      <c r="BF50" s="37">
        <f t="shared" si="17"/>
        <v>0.92682926829268297</v>
      </c>
      <c r="BG50" s="35">
        <f t="shared" si="18"/>
        <v>986.73710239406546</v>
      </c>
      <c r="BH50" s="33">
        <f t="shared" si="19"/>
        <v>-1.3262897605934541E-2</v>
      </c>
      <c r="BI50" s="38">
        <f t="shared" si="20"/>
        <v>2.0176414289040068</v>
      </c>
      <c r="BJ50" s="38">
        <f t="shared" si="21"/>
        <v>1.862438242065237</v>
      </c>
      <c r="BK50" s="32">
        <f t="shared" si="22"/>
        <v>33.679091544013041</v>
      </c>
      <c r="BL50" s="32">
        <f t="shared" si="23"/>
        <v>25.453322641558241</v>
      </c>
      <c r="BM50" s="32">
        <f t="shared" si="24"/>
        <v>59.598023746087584</v>
      </c>
      <c r="BN50" s="32">
        <f t="shared" si="25"/>
        <v>43.767298688533074</v>
      </c>
      <c r="BO50" s="32">
        <f t="shared" si="26"/>
        <v>15.83072505755451</v>
      </c>
      <c r="BP50" s="20">
        <v>13</v>
      </c>
      <c r="BQ50" s="20">
        <v>12</v>
      </c>
      <c r="BR50" s="35">
        <v>204</v>
      </c>
      <c r="BS50" s="35">
        <v>152</v>
      </c>
      <c r="BT50" s="20">
        <v>78</v>
      </c>
      <c r="BU50" s="20">
        <v>60</v>
      </c>
      <c r="BV50" s="20">
        <v>89</v>
      </c>
      <c r="BW50" s="20">
        <v>58</v>
      </c>
      <c r="BX50" s="20">
        <v>203</v>
      </c>
      <c r="BY50" s="20">
        <v>139</v>
      </c>
      <c r="BZ50" s="33">
        <f t="shared" si="27"/>
        <v>0.5935672514619883</v>
      </c>
      <c r="CA50" s="23">
        <v>2.76</v>
      </c>
      <c r="CB50" s="39">
        <f t="shared" si="28"/>
        <v>7.2414173652468179</v>
      </c>
      <c r="CC50" s="38">
        <f t="shared" si="29"/>
        <v>2.7461033952366116</v>
      </c>
      <c r="CD50" s="38">
        <f t="shared" si="30"/>
        <v>1.9251034110937069</v>
      </c>
      <c r="CE50" s="32">
        <f t="shared" si="31"/>
        <v>34.283826924036454</v>
      </c>
      <c r="CF50" s="32">
        <f t="shared" si="32"/>
        <v>27.319482230962166</v>
      </c>
      <c r="CG50" s="32">
        <f t="shared" si="33"/>
        <v>60.640757449451769</v>
      </c>
      <c r="CH50" s="32">
        <f t="shared" si="34"/>
        <v>49.628033524224534</v>
      </c>
      <c r="CI50" s="32">
        <f t="shared" si="35"/>
        <v>4.8180011323272751</v>
      </c>
      <c r="CJ50">
        <v>2119.3666669999998</v>
      </c>
      <c r="CK50">
        <v>97</v>
      </c>
      <c r="CL50">
        <v>68</v>
      </c>
      <c r="CM50" s="35">
        <v>1114</v>
      </c>
      <c r="CN50">
        <v>897</v>
      </c>
      <c r="CO50">
        <v>399</v>
      </c>
      <c r="CP50">
        <v>349</v>
      </c>
      <c r="CQ50">
        <v>532</v>
      </c>
      <c r="CR50">
        <v>439</v>
      </c>
      <c r="CS50" s="20">
        <v>3</v>
      </c>
      <c r="CT50" s="20">
        <v>7</v>
      </c>
      <c r="CU50" s="35">
        <f t="shared" si="36"/>
        <v>4</v>
      </c>
      <c r="CV50" s="38">
        <f t="shared" si="37"/>
        <v>0.4553119730185497</v>
      </c>
      <c r="CW50" s="38">
        <f t="shared" si="38"/>
        <v>1.0623946037099492</v>
      </c>
      <c r="CX50" s="38">
        <f t="shared" si="39"/>
        <v>0.60708263069139967</v>
      </c>
      <c r="CY50" s="40">
        <v>17.48</v>
      </c>
      <c r="CZ50" s="40">
        <v>11.32</v>
      </c>
      <c r="DA50" s="40">
        <v>14.73</v>
      </c>
      <c r="DB50" s="40">
        <v>9.5</v>
      </c>
      <c r="DC50" s="40">
        <v>18.440000000000001</v>
      </c>
      <c r="DD50" s="40">
        <v>15.09</v>
      </c>
      <c r="DE50">
        <v>1</v>
      </c>
      <c r="DF50">
        <v>5</v>
      </c>
      <c r="DG50" s="33">
        <f t="shared" si="40"/>
        <v>0.16666666666666666</v>
      </c>
      <c r="DH50">
        <v>-0.02</v>
      </c>
      <c r="DI50">
        <v>2.27</v>
      </c>
      <c r="DJ50">
        <v>4</v>
      </c>
      <c r="DK50">
        <v>1</v>
      </c>
      <c r="DL50">
        <v>1</v>
      </c>
      <c r="DM50" s="1" t="s">
        <v>343</v>
      </c>
      <c r="DN50" t="s">
        <v>344</v>
      </c>
    </row>
    <row r="51" spans="1:118" x14ac:dyDescent="0.25">
      <c r="A51" t="s">
        <v>345</v>
      </c>
      <c r="B51" t="s">
        <v>346</v>
      </c>
      <c r="C51" s="1" t="s">
        <v>250</v>
      </c>
      <c r="D51" s="2" t="s">
        <v>163</v>
      </c>
      <c r="E51">
        <v>61</v>
      </c>
      <c r="F51">
        <f>(10/61)</f>
        <v>0.16393442622950818</v>
      </c>
      <c r="G51" t="s">
        <v>544</v>
      </c>
      <c r="H51">
        <f>(18/38)</f>
        <v>0.47368421052631576</v>
      </c>
      <c r="I51">
        <v>5</v>
      </c>
      <c r="J51">
        <v>4</v>
      </c>
      <c r="K51" s="29">
        <f t="shared" si="0"/>
        <v>9</v>
      </c>
      <c r="L51" s="30">
        <f t="shared" si="1"/>
        <v>0.83123813433218741</v>
      </c>
      <c r="M51" s="20">
        <v>3</v>
      </c>
      <c r="N51" s="20">
        <v>2</v>
      </c>
      <c r="O51" s="20">
        <v>2</v>
      </c>
      <c r="P51" s="20">
        <v>53</v>
      </c>
      <c r="Q51" s="20">
        <v>30</v>
      </c>
      <c r="R51" s="20">
        <v>28</v>
      </c>
      <c r="S51" s="20">
        <v>69</v>
      </c>
      <c r="T51" s="31">
        <f t="shared" si="2"/>
        <v>9.4339622641509441E-2</v>
      </c>
      <c r="U51" s="31">
        <f t="shared" si="3"/>
        <v>4.5045045045045043E-2</v>
      </c>
      <c r="V51">
        <v>38978</v>
      </c>
      <c r="W51" s="32">
        <f t="shared" si="4"/>
        <v>10.649726775956283</v>
      </c>
      <c r="X51" s="23">
        <v>636.96</v>
      </c>
      <c r="Y51" s="32">
        <f t="shared" si="5"/>
        <v>10.441967213114754</v>
      </c>
      <c r="Z51" s="23">
        <v>2267.5700000000002</v>
      </c>
      <c r="AA51" s="32">
        <f t="shared" si="6"/>
        <v>37.17327868852459</v>
      </c>
      <c r="AB51" s="33">
        <f t="shared" si="7"/>
        <v>0.21929881943033816</v>
      </c>
      <c r="AC51" s="34">
        <f t="shared" si="8"/>
        <v>40.571428571428577</v>
      </c>
      <c r="AD51" s="20">
        <v>24</v>
      </c>
      <c r="AE51" s="20">
        <v>159</v>
      </c>
      <c r="AF51" s="20">
        <v>87</v>
      </c>
      <c r="AG51" s="20">
        <v>11</v>
      </c>
      <c r="AH51" s="20">
        <v>14</v>
      </c>
      <c r="AI51" s="31">
        <f t="shared" si="9"/>
        <v>0.21428571428571427</v>
      </c>
      <c r="AJ51" s="31">
        <f t="shared" si="10"/>
        <v>0.2857142857142857</v>
      </c>
      <c r="AK51" s="31">
        <f t="shared" si="11"/>
        <v>0.5</v>
      </c>
      <c r="AL51" s="20">
        <v>104</v>
      </c>
      <c r="AM51" s="33">
        <f t="shared" si="12"/>
        <v>0.17133443163097201</v>
      </c>
      <c r="AN51" s="20">
        <v>283</v>
      </c>
      <c r="AO51" s="33">
        <f t="shared" si="13"/>
        <v>0.46622734761120266</v>
      </c>
      <c r="AP51" s="20">
        <v>220</v>
      </c>
      <c r="AQ51" s="33">
        <f t="shared" si="14"/>
        <v>0.36243822075782539</v>
      </c>
      <c r="AR51" s="33">
        <f t="shared" si="15"/>
        <v>0.26873385012919898</v>
      </c>
      <c r="AS51" s="1">
        <v>4</v>
      </c>
      <c r="AT51" s="23">
        <v>-32.54</v>
      </c>
      <c r="AU51" s="20">
        <v>17.09</v>
      </c>
      <c r="AV51" s="35">
        <v>12</v>
      </c>
      <c r="AW51" s="36">
        <v>0.221</v>
      </c>
      <c r="AX51" s="1">
        <v>13</v>
      </c>
      <c r="AY51" s="36">
        <v>0.216</v>
      </c>
      <c r="AZ51" s="20">
        <v>50.14</v>
      </c>
      <c r="BA51" s="20">
        <v>16.940000000000001</v>
      </c>
      <c r="BB51" s="36">
        <v>-5.7859999999999996</v>
      </c>
      <c r="BC51" s="36">
        <v>0.58099999999999996</v>
      </c>
      <c r="BD51" s="20">
        <v>50.57</v>
      </c>
      <c r="BE51" s="33">
        <f t="shared" si="16"/>
        <v>4.9295774647887321E-2</v>
      </c>
      <c r="BF51" s="37">
        <f t="shared" si="17"/>
        <v>0.93207547169811322</v>
      </c>
      <c r="BG51" s="35">
        <f t="shared" si="18"/>
        <v>981.37124634600059</v>
      </c>
      <c r="BH51" s="33">
        <f t="shared" si="19"/>
        <v>-1.8628753653999457E-2</v>
      </c>
      <c r="BI51" s="38">
        <f t="shared" si="20"/>
        <v>1.3187641296156745</v>
      </c>
      <c r="BJ51" s="38">
        <f t="shared" si="21"/>
        <v>1.6955538809344386</v>
      </c>
      <c r="BK51" s="32">
        <f t="shared" si="22"/>
        <v>26.752072343632253</v>
      </c>
      <c r="BL51" s="32">
        <f t="shared" si="23"/>
        <v>24.962321024868125</v>
      </c>
      <c r="BM51" s="32">
        <f t="shared" si="24"/>
        <v>50.018839487565934</v>
      </c>
      <c r="BN51" s="32">
        <f t="shared" si="25"/>
        <v>50.678221552373778</v>
      </c>
      <c r="BO51" s="32">
        <f t="shared" si="26"/>
        <v>-0.65938206480784345</v>
      </c>
      <c r="BP51" s="20">
        <v>14</v>
      </c>
      <c r="BQ51" s="20">
        <v>18</v>
      </c>
      <c r="BR51" s="35">
        <v>270</v>
      </c>
      <c r="BS51" s="35">
        <v>247</v>
      </c>
      <c r="BT51" s="20">
        <v>115</v>
      </c>
      <c r="BU51" s="20">
        <v>122</v>
      </c>
      <c r="BV51" s="20">
        <v>132</v>
      </c>
      <c r="BW51" s="20">
        <v>151</v>
      </c>
      <c r="BX51" s="20">
        <v>243</v>
      </c>
      <c r="BY51" s="20">
        <v>215</v>
      </c>
      <c r="BZ51" s="33">
        <f t="shared" si="27"/>
        <v>0.53056768558951961</v>
      </c>
      <c r="CA51" s="23">
        <v>-1.29</v>
      </c>
      <c r="CB51" s="39">
        <f t="shared" si="28"/>
        <v>4.4360055320913805</v>
      </c>
      <c r="CC51" s="38">
        <f t="shared" si="29"/>
        <v>2.2885025084186656</v>
      </c>
      <c r="CD51" s="38">
        <f t="shared" si="30"/>
        <v>2.1441825304102808</v>
      </c>
      <c r="CE51" s="32">
        <f t="shared" si="31"/>
        <v>30.039172565459417</v>
      </c>
      <c r="CF51" s="32">
        <f t="shared" si="32"/>
        <v>27.152773005291735</v>
      </c>
      <c r="CG51" s="32">
        <f t="shared" si="33"/>
        <v>56.305408562985363</v>
      </c>
      <c r="CH51" s="32">
        <f t="shared" si="34"/>
        <v>51.212975053260948</v>
      </c>
      <c r="CI51" s="32">
        <f t="shared" si="35"/>
        <v>-5.7518155745322588</v>
      </c>
      <c r="CJ51">
        <v>2910.2</v>
      </c>
      <c r="CK51">
        <v>111</v>
      </c>
      <c r="CL51">
        <v>104</v>
      </c>
      <c r="CM51" s="35">
        <v>1346</v>
      </c>
      <c r="CN51">
        <v>1213</v>
      </c>
      <c r="CO51">
        <v>569</v>
      </c>
      <c r="CP51">
        <v>470</v>
      </c>
      <c r="CQ51">
        <v>705</v>
      </c>
      <c r="CR51">
        <v>697</v>
      </c>
      <c r="CS51" s="20">
        <v>10</v>
      </c>
      <c r="CT51" s="20">
        <v>13</v>
      </c>
      <c r="CU51" s="35">
        <f t="shared" si="36"/>
        <v>3</v>
      </c>
      <c r="CV51" s="38">
        <f t="shared" si="37"/>
        <v>0.92359792703576382</v>
      </c>
      <c r="CW51" s="38">
        <f t="shared" si="38"/>
        <v>1.200677305146493</v>
      </c>
      <c r="CX51" s="38">
        <f t="shared" si="39"/>
        <v>0.27707937811072914</v>
      </c>
      <c r="CY51" s="40">
        <v>21.66</v>
      </c>
      <c r="CZ51" s="40">
        <v>19.309999999999999</v>
      </c>
      <c r="DA51" s="40">
        <v>24.58</v>
      </c>
      <c r="DB51" s="40">
        <v>29.25</v>
      </c>
      <c r="DC51" s="40">
        <v>19.920000000000002</v>
      </c>
      <c r="DD51" s="40">
        <v>22.88</v>
      </c>
      <c r="DE51">
        <v>2</v>
      </c>
      <c r="DF51">
        <v>1</v>
      </c>
      <c r="DG51" s="33">
        <f t="shared" si="40"/>
        <v>0.66666666666666663</v>
      </c>
      <c r="DH51">
        <v>0.01</v>
      </c>
      <c r="DI51">
        <v>0.24</v>
      </c>
      <c r="DJ51">
        <v>0</v>
      </c>
      <c r="DK51">
        <v>2</v>
      </c>
      <c r="DL51">
        <v>1</v>
      </c>
      <c r="DM51" s="1" t="s">
        <v>347</v>
      </c>
      <c r="DN51" t="s">
        <v>348</v>
      </c>
    </row>
    <row r="52" spans="1:118" x14ac:dyDescent="0.25">
      <c r="A52" t="s">
        <v>349</v>
      </c>
      <c r="B52" t="s">
        <v>350</v>
      </c>
      <c r="C52" s="1" t="s">
        <v>259</v>
      </c>
      <c r="D52" s="2" t="s">
        <v>157</v>
      </c>
      <c r="E52">
        <v>68</v>
      </c>
      <c r="F52">
        <f>(10/68)</f>
        <v>0.14705882352941177</v>
      </c>
      <c r="G52" t="s">
        <v>544</v>
      </c>
      <c r="H52">
        <f>(42/70)</f>
        <v>0.6</v>
      </c>
      <c r="I52">
        <v>5</v>
      </c>
      <c r="J52">
        <v>5</v>
      </c>
      <c r="K52" s="29">
        <f t="shared" si="0"/>
        <v>10</v>
      </c>
      <c r="L52" s="30">
        <f t="shared" si="1"/>
        <v>0.95665807445988693</v>
      </c>
      <c r="M52" s="20">
        <v>5</v>
      </c>
      <c r="N52" s="20">
        <v>3</v>
      </c>
      <c r="O52" s="20">
        <v>2</v>
      </c>
      <c r="P52" s="20">
        <v>68</v>
      </c>
      <c r="Q52" s="20">
        <v>26</v>
      </c>
      <c r="R52" s="20">
        <v>24</v>
      </c>
      <c r="S52" s="20">
        <v>81</v>
      </c>
      <c r="T52" s="31">
        <f t="shared" si="2"/>
        <v>7.3529411764705885E-2</v>
      </c>
      <c r="U52" s="31">
        <f t="shared" si="3"/>
        <v>4.2372881355932202E-2</v>
      </c>
      <c r="V52">
        <v>37631</v>
      </c>
      <c r="W52" s="32">
        <f t="shared" si="4"/>
        <v>9.2232843137254896</v>
      </c>
      <c r="X52" s="23">
        <v>627.07000000000005</v>
      </c>
      <c r="Y52" s="32">
        <f t="shared" si="5"/>
        <v>9.2216176470588245</v>
      </c>
      <c r="Z52" s="23">
        <v>2647.59</v>
      </c>
      <c r="AA52" s="32">
        <f t="shared" si="6"/>
        <v>38.935147058823532</v>
      </c>
      <c r="AB52" s="33">
        <f t="shared" si="7"/>
        <v>0.19149163577287415</v>
      </c>
      <c r="AC52" s="34">
        <f t="shared" si="8"/>
        <v>50.6</v>
      </c>
      <c r="AD52" s="20">
        <v>23</v>
      </c>
      <c r="AE52" s="20">
        <v>97</v>
      </c>
      <c r="AF52" s="20">
        <v>65</v>
      </c>
      <c r="AG52" s="20">
        <v>17</v>
      </c>
      <c r="AH52" s="20">
        <v>14</v>
      </c>
      <c r="AI52" s="31">
        <f t="shared" si="9"/>
        <v>0.33333333333333331</v>
      </c>
      <c r="AJ52" s="31">
        <f t="shared" si="10"/>
        <v>0.33333333333333331</v>
      </c>
      <c r="AK52" s="31">
        <f t="shared" si="11"/>
        <v>0.66666666666666663</v>
      </c>
      <c r="AL52" s="20">
        <v>165</v>
      </c>
      <c r="AM52" s="33">
        <f t="shared" si="12"/>
        <v>0.30054644808743169</v>
      </c>
      <c r="AN52" s="20">
        <v>171</v>
      </c>
      <c r="AO52" s="33">
        <f t="shared" si="13"/>
        <v>0.31147540983606559</v>
      </c>
      <c r="AP52" s="20">
        <v>213</v>
      </c>
      <c r="AQ52" s="33">
        <f t="shared" si="14"/>
        <v>0.38797814207650272</v>
      </c>
      <c r="AR52" s="33">
        <f t="shared" si="15"/>
        <v>0.49107142857142855</v>
      </c>
      <c r="AS52" s="1">
        <v>7</v>
      </c>
      <c r="AT52" s="23">
        <v>-0.33</v>
      </c>
      <c r="AU52" s="20">
        <v>16.649999999999999</v>
      </c>
      <c r="AV52" s="35">
        <v>13</v>
      </c>
      <c r="AW52" s="36">
        <v>-0.57400000000000007</v>
      </c>
      <c r="AX52" s="1">
        <v>13</v>
      </c>
      <c r="AY52" s="36">
        <v>-0.23100000000000001</v>
      </c>
      <c r="AZ52" s="20">
        <v>49.61</v>
      </c>
      <c r="BA52" s="20">
        <v>16.600000000000001</v>
      </c>
      <c r="BB52" s="36">
        <v>-6.4630000000000001</v>
      </c>
      <c r="BC52" s="36">
        <v>-5.4619999999999997</v>
      </c>
      <c r="BD52" s="20">
        <v>47.28</v>
      </c>
      <c r="BE52" s="33">
        <f t="shared" si="16"/>
        <v>5.9288537549407112E-2</v>
      </c>
      <c r="BF52" s="37">
        <f t="shared" si="17"/>
        <v>0.92332268370607029</v>
      </c>
      <c r="BG52" s="35">
        <f t="shared" si="18"/>
        <v>982.6112212554774</v>
      </c>
      <c r="BH52" s="33">
        <f t="shared" si="19"/>
        <v>-1.7388778744522597E-2</v>
      </c>
      <c r="BI52" s="38">
        <f t="shared" si="20"/>
        <v>1.4352464637121851</v>
      </c>
      <c r="BJ52" s="38">
        <f t="shared" si="21"/>
        <v>2.2963943419394961</v>
      </c>
      <c r="BK52" s="32">
        <f t="shared" si="22"/>
        <v>24.20782368794552</v>
      </c>
      <c r="BL52" s="32">
        <f t="shared" si="23"/>
        <v>29.948809542794262</v>
      </c>
      <c r="BM52" s="32">
        <f t="shared" si="24"/>
        <v>42.483295325880682</v>
      </c>
      <c r="BN52" s="32">
        <f t="shared" si="25"/>
        <v>56.74007686542172</v>
      </c>
      <c r="BO52" s="32">
        <f t="shared" si="26"/>
        <v>-14.256781539541038</v>
      </c>
      <c r="BP52" s="20">
        <v>15</v>
      </c>
      <c r="BQ52" s="20">
        <v>24</v>
      </c>
      <c r="BR52" s="35">
        <v>238</v>
      </c>
      <c r="BS52" s="35">
        <v>289</v>
      </c>
      <c r="BT52" s="20">
        <v>92</v>
      </c>
      <c r="BU52" s="20">
        <v>136</v>
      </c>
      <c r="BV52" s="20">
        <v>99</v>
      </c>
      <c r="BW52" s="20">
        <v>144</v>
      </c>
      <c r="BX52" s="20">
        <v>221</v>
      </c>
      <c r="BY52" s="20">
        <v>290</v>
      </c>
      <c r="BZ52" s="33">
        <f t="shared" si="27"/>
        <v>0.43248532289628178</v>
      </c>
      <c r="CA52" s="23">
        <v>-6.37</v>
      </c>
      <c r="CB52" s="39">
        <f t="shared" si="28"/>
        <v>-8.9014958252553242</v>
      </c>
      <c r="CC52" s="38">
        <f t="shared" si="29"/>
        <v>2.3408805731966251</v>
      </c>
      <c r="CD52" s="38">
        <f t="shared" si="30"/>
        <v>2.26772805528423</v>
      </c>
      <c r="CE52" s="32">
        <f t="shared" si="31"/>
        <v>30.486311839990417</v>
      </c>
      <c r="CF52" s="32">
        <f t="shared" si="32"/>
        <v>30.30343054520943</v>
      </c>
      <c r="CG52" s="32">
        <f t="shared" si="33"/>
        <v>54.22430390256244</v>
      </c>
      <c r="CH52" s="32">
        <f t="shared" si="34"/>
        <v>55.742218649244627</v>
      </c>
      <c r="CI52" s="32">
        <f t="shared" si="35"/>
        <v>-12.73886679285885</v>
      </c>
      <c r="CJ52">
        <v>3280.8166670000001</v>
      </c>
      <c r="CK52">
        <v>128</v>
      </c>
      <c r="CL52">
        <v>124</v>
      </c>
      <c r="CM52" s="35">
        <v>1539</v>
      </c>
      <c r="CN52">
        <v>1533</v>
      </c>
      <c r="CO52">
        <v>569</v>
      </c>
      <c r="CP52">
        <v>690</v>
      </c>
      <c r="CQ52">
        <v>729</v>
      </c>
      <c r="CR52">
        <v>701</v>
      </c>
      <c r="CS52" s="20">
        <v>5</v>
      </c>
      <c r="CT52" s="20">
        <v>7</v>
      </c>
      <c r="CU52" s="35">
        <f t="shared" si="36"/>
        <v>2</v>
      </c>
      <c r="CV52" s="38">
        <f t="shared" si="37"/>
        <v>0.47832903722994347</v>
      </c>
      <c r="CW52" s="38">
        <f t="shared" si="38"/>
        <v>0.66966065212192083</v>
      </c>
      <c r="CX52" s="38">
        <f t="shared" si="39"/>
        <v>0.19133161489197736</v>
      </c>
      <c r="CY52" s="40">
        <v>19.52</v>
      </c>
      <c r="CZ52" s="40">
        <v>22.57</v>
      </c>
      <c r="DA52" s="40">
        <v>24.21</v>
      </c>
      <c r="DB52" s="40">
        <v>29.12</v>
      </c>
      <c r="DC52" s="40">
        <v>21.51</v>
      </c>
      <c r="DD52" s="40">
        <v>30.28</v>
      </c>
      <c r="DE52">
        <v>29</v>
      </c>
      <c r="DF52">
        <v>53</v>
      </c>
      <c r="DG52" s="33">
        <f t="shared" si="40"/>
        <v>0.35365853658536583</v>
      </c>
      <c r="DH52">
        <v>-0.13</v>
      </c>
      <c r="DI52">
        <v>-1.59</v>
      </c>
      <c r="DJ52">
        <v>34</v>
      </c>
      <c r="DK52">
        <v>32</v>
      </c>
      <c r="DL52">
        <v>15</v>
      </c>
      <c r="DM52" s="1" t="s">
        <v>351</v>
      </c>
      <c r="DN52" t="s">
        <v>352</v>
      </c>
    </row>
    <row r="53" spans="1:118" x14ac:dyDescent="0.25">
      <c r="A53" t="s">
        <v>232</v>
      </c>
      <c r="B53" t="s">
        <v>353</v>
      </c>
      <c r="C53" s="1" t="s">
        <v>229</v>
      </c>
      <c r="D53" s="2" t="s">
        <v>131</v>
      </c>
      <c r="E53">
        <v>51</v>
      </c>
      <c r="F53">
        <f>(10/51)</f>
        <v>0.19607843137254902</v>
      </c>
      <c r="G53" t="s">
        <v>544</v>
      </c>
      <c r="H53">
        <f>(38/70)</f>
        <v>0.54285714285714282</v>
      </c>
      <c r="I53">
        <v>4</v>
      </c>
      <c r="J53">
        <v>6</v>
      </c>
      <c r="K53" s="29">
        <f t="shared" si="0"/>
        <v>10</v>
      </c>
      <c r="L53" s="30">
        <f t="shared" si="1"/>
        <v>0.98314990305049565</v>
      </c>
      <c r="M53" s="20">
        <v>3</v>
      </c>
      <c r="N53" s="20">
        <v>1</v>
      </c>
      <c r="O53" s="20">
        <v>4</v>
      </c>
      <c r="P53" s="20">
        <v>67</v>
      </c>
      <c r="Q53" s="20">
        <v>26</v>
      </c>
      <c r="R53" s="20">
        <v>22</v>
      </c>
      <c r="S53" s="20">
        <v>56</v>
      </c>
      <c r="T53" s="31">
        <f t="shared" si="2"/>
        <v>5.9701492537313432E-2</v>
      </c>
      <c r="U53" s="31">
        <f t="shared" si="3"/>
        <v>3.4782608695652174E-2</v>
      </c>
      <c r="V53">
        <v>36617</v>
      </c>
      <c r="W53" s="32">
        <f t="shared" si="4"/>
        <v>11.966339869281047</v>
      </c>
      <c r="X53" s="23">
        <v>583.15</v>
      </c>
      <c r="Y53" s="32">
        <f t="shared" si="5"/>
        <v>11.434313725490195</v>
      </c>
      <c r="Z53" s="23">
        <v>1891.2</v>
      </c>
      <c r="AA53" s="32">
        <f t="shared" si="6"/>
        <v>37.082352941176474</v>
      </c>
      <c r="AB53" s="33">
        <f t="shared" si="7"/>
        <v>0.23567805686341867</v>
      </c>
      <c r="AC53" s="34">
        <f t="shared" si="8"/>
        <v>28.599999999999998</v>
      </c>
      <c r="AD53" s="20">
        <v>26</v>
      </c>
      <c r="AE53" s="20">
        <v>42</v>
      </c>
      <c r="AF53" s="20">
        <v>89</v>
      </c>
      <c r="AG53" s="20">
        <v>10</v>
      </c>
      <c r="AH53" s="20">
        <v>16</v>
      </c>
      <c r="AI53" s="31">
        <f t="shared" si="9"/>
        <v>0.3</v>
      </c>
      <c r="AJ53" s="31">
        <f t="shared" si="10"/>
        <v>0.5</v>
      </c>
      <c r="AK53" s="31">
        <f t="shared" si="11"/>
        <v>0.8</v>
      </c>
      <c r="AL53" s="20">
        <v>139</v>
      </c>
      <c r="AM53" s="33">
        <f t="shared" si="12"/>
        <v>0.22937293729372937</v>
      </c>
      <c r="AN53" s="20">
        <v>273</v>
      </c>
      <c r="AO53" s="33">
        <f t="shared" si="13"/>
        <v>0.45049504950495051</v>
      </c>
      <c r="AP53" s="20">
        <v>194</v>
      </c>
      <c r="AQ53" s="33">
        <f t="shared" si="14"/>
        <v>0.32013201320132012</v>
      </c>
      <c r="AR53" s="33">
        <f t="shared" si="15"/>
        <v>0.33737864077669905</v>
      </c>
      <c r="AS53" s="1">
        <v>4</v>
      </c>
      <c r="AT53" s="23">
        <v>-21.26</v>
      </c>
      <c r="AU53" s="20">
        <v>16.96</v>
      </c>
      <c r="AV53" s="35">
        <v>12</v>
      </c>
      <c r="AW53" s="36">
        <v>0.68300000000000005</v>
      </c>
      <c r="AX53" s="1">
        <v>4</v>
      </c>
      <c r="AY53" s="36">
        <v>1.2730000000000001</v>
      </c>
      <c r="AZ53" s="20">
        <v>50.41</v>
      </c>
      <c r="BA53" s="20">
        <v>17.3</v>
      </c>
      <c r="BB53" s="36">
        <v>-0.89900000000000002</v>
      </c>
      <c r="BC53" s="36">
        <v>0.54300000000000004</v>
      </c>
      <c r="BD53" s="20">
        <v>50.17</v>
      </c>
      <c r="BE53" s="33">
        <f t="shared" si="16"/>
        <v>3.4965034965034968E-2</v>
      </c>
      <c r="BF53" s="37">
        <f t="shared" si="17"/>
        <v>0.92936802973977695</v>
      </c>
      <c r="BG53" s="35">
        <f t="shared" si="18"/>
        <v>964.33306470481193</v>
      </c>
      <c r="BH53" s="33">
        <f t="shared" si="19"/>
        <v>-3.5666935295188086E-2</v>
      </c>
      <c r="BI53" s="38">
        <f t="shared" si="20"/>
        <v>1.0288947955071595</v>
      </c>
      <c r="BJ53" s="38">
        <f t="shared" si="21"/>
        <v>1.9549001114636031</v>
      </c>
      <c r="BK53" s="32">
        <f t="shared" si="22"/>
        <v>29.42639115150476</v>
      </c>
      <c r="BL53" s="32">
        <f t="shared" si="23"/>
        <v>27.677269999142588</v>
      </c>
      <c r="BM53" s="32">
        <f t="shared" si="24"/>
        <v>54.73720312098088</v>
      </c>
      <c r="BN53" s="32">
        <f t="shared" si="25"/>
        <v>52.370745091314411</v>
      </c>
      <c r="BO53" s="32">
        <f t="shared" si="26"/>
        <v>2.3664580296664681</v>
      </c>
      <c r="BP53" s="20">
        <v>10</v>
      </c>
      <c r="BQ53" s="20">
        <v>19</v>
      </c>
      <c r="BR53" s="35">
        <v>276</v>
      </c>
      <c r="BS53" s="35">
        <v>250</v>
      </c>
      <c r="BT53" s="20">
        <v>107</v>
      </c>
      <c r="BU53" s="20">
        <v>109</v>
      </c>
      <c r="BV53" s="20">
        <v>139</v>
      </c>
      <c r="BW53" s="20">
        <v>131</v>
      </c>
      <c r="BX53" s="20">
        <v>222</v>
      </c>
      <c r="BY53" s="20">
        <v>237</v>
      </c>
      <c r="BZ53" s="33">
        <f t="shared" si="27"/>
        <v>0.48366013071895425</v>
      </c>
      <c r="CA53" s="23">
        <v>0.74</v>
      </c>
      <c r="CB53" s="39">
        <f t="shared" si="28"/>
        <v>6.9093706510256911</v>
      </c>
      <c r="CC53" s="38">
        <f t="shared" si="29"/>
        <v>2.2052438487825734</v>
      </c>
      <c r="CD53" s="38">
        <f t="shared" si="30"/>
        <v>2.2537107465580144</v>
      </c>
      <c r="CE53" s="32">
        <f t="shared" si="31"/>
        <v>30.316044558538451</v>
      </c>
      <c r="CF53" s="32">
        <f t="shared" si="32"/>
        <v>30.582612496303373</v>
      </c>
      <c r="CG53" s="32">
        <f t="shared" si="33"/>
        <v>54.694894139585358</v>
      </c>
      <c r="CH53" s="32">
        <f t="shared" si="34"/>
        <v>56.512402806164395</v>
      </c>
      <c r="CI53" s="32">
        <f t="shared" si="35"/>
        <v>4.1839666962455055</v>
      </c>
      <c r="CJ53">
        <v>2475.916667</v>
      </c>
      <c r="CK53">
        <v>91</v>
      </c>
      <c r="CL53">
        <v>93</v>
      </c>
      <c r="CM53" s="35">
        <v>1160</v>
      </c>
      <c r="CN53">
        <v>1169</v>
      </c>
      <c r="CO53">
        <v>440</v>
      </c>
      <c r="CP53">
        <v>448</v>
      </c>
      <c r="CQ53">
        <v>566</v>
      </c>
      <c r="CR53">
        <v>622</v>
      </c>
      <c r="CS53" s="20">
        <v>4</v>
      </c>
      <c r="CT53" s="20">
        <v>3</v>
      </c>
      <c r="CU53" s="35">
        <f t="shared" si="36"/>
        <v>-1</v>
      </c>
      <c r="CV53" s="38">
        <f t="shared" si="37"/>
        <v>0.39325996122019824</v>
      </c>
      <c r="CW53" s="38">
        <f t="shared" si="38"/>
        <v>0.29494497091514865</v>
      </c>
      <c r="CX53" s="38">
        <f t="shared" si="39"/>
        <v>-9.831499030504956E-2</v>
      </c>
      <c r="CY53" s="40">
        <v>21.04</v>
      </c>
      <c r="CZ53" s="40">
        <v>20.85</v>
      </c>
      <c r="DA53" s="40">
        <v>25.52</v>
      </c>
      <c r="DB53" s="40">
        <v>27.98</v>
      </c>
      <c r="DC53" s="40">
        <v>21.82</v>
      </c>
      <c r="DD53" s="40">
        <v>24.54</v>
      </c>
      <c r="DE53">
        <v>231</v>
      </c>
      <c r="DF53">
        <v>255</v>
      </c>
      <c r="DG53" s="33">
        <f t="shared" si="40"/>
        <v>0.47530864197530864</v>
      </c>
      <c r="DH53">
        <v>-0.23</v>
      </c>
      <c r="DI53">
        <v>3.56</v>
      </c>
      <c r="DJ53">
        <v>105</v>
      </c>
      <c r="DK53">
        <v>152</v>
      </c>
      <c r="DL53">
        <v>219</v>
      </c>
      <c r="DM53" s="1" t="s">
        <v>354</v>
      </c>
      <c r="DN53" t="s">
        <v>355</v>
      </c>
    </row>
    <row r="54" spans="1:118" x14ac:dyDescent="0.25">
      <c r="A54" t="s">
        <v>356</v>
      </c>
      <c r="B54" t="s">
        <v>357</v>
      </c>
      <c r="C54" s="1" t="s">
        <v>162</v>
      </c>
      <c r="D54" s="2" t="s">
        <v>321</v>
      </c>
      <c r="E54">
        <v>43</v>
      </c>
      <c r="F54">
        <f>(10/43)</f>
        <v>0.23255813953488372</v>
      </c>
      <c r="G54" t="s">
        <v>544</v>
      </c>
      <c r="H54">
        <f>(33/54)</f>
        <v>0.61111111111111116</v>
      </c>
      <c r="I54">
        <v>4</v>
      </c>
      <c r="J54">
        <v>4</v>
      </c>
      <c r="K54" s="29">
        <f t="shared" si="0"/>
        <v>8</v>
      </c>
      <c r="L54" s="30">
        <f t="shared" si="1"/>
        <v>0.99437212995891311</v>
      </c>
      <c r="M54" s="20">
        <v>3</v>
      </c>
      <c r="N54" s="20">
        <v>2</v>
      </c>
      <c r="O54" s="20">
        <v>2</v>
      </c>
      <c r="P54" s="20">
        <v>43</v>
      </c>
      <c r="Q54" s="20">
        <v>16</v>
      </c>
      <c r="R54" s="20">
        <v>26</v>
      </c>
      <c r="S54" s="20">
        <v>64</v>
      </c>
      <c r="T54" s="31">
        <f t="shared" si="2"/>
        <v>9.3023255813953487E-2</v>
      </c>
      <c r="U54" s="31">
        <f t="shared" si="3"/>
        <v>4.7058823529411764E-2</v>
      </c>
      <c r="V54">
        <v>28963</v>
      </c>
      <c r="W54" s="32">
        <f t="shared" si="4"/>
        <v>11.225968992248061</v>
      </c>
      <c r="X54" s="23">
        <v>487.5</v>
      </c>
      <c r="Y54" s="32">
        <f t="shared" si="5"/>
        <v>11.337209302325581</v>
      </c>
      <c r="Z54" s="23">
        <v>1566.82</v>
      </c>
      <c r="AA54" s="32">
        <f t="shared" si="6"/>
        <v>36.437674418604651</v>
      </c>
      <c r="AB54" s="33">
        <f t="shared" si="7"/>
        <v>0.2373048015888469</v>
      </c>
      <c r="AC54" s="34">
        <f t="shared" si="8"/>
        <v>29.142857142857139</v>
      </c>
      <c r="AD54" s="20">
        <v>19</v>
      </c>
      <c r="AE54" s="20">
        <v>54</v>
      </c>
      <c r="AF54" s="20">
        <v>38</v>
      </c>
      <c r="AG54" s="20">
        <v>12</v>
      </c>
      <c r="AH54" s="20">
        <v>20</v>
      </c>
      <c r="AI54" s="31">
        <f t="shared" si="9"/>
        <v>0.21428571428571427</v>
      </c>
      <c r="AJ54" s="31">
        <f t="shared" si="10"/>
        <v>0.2857142857142857</v>
      </c>
      <c r="AK54" s="31">
        <f t="shared" si="11"/>
        <v>0.5</v>
      </c>
      <c r="AL54" s="20">
        <v>118</v>
      </c>
      <c r="AM54" s="33">
        <f t="shared" si="12"/>
        <v>0.30412371134020616</v>
      </c>
      <c r="AN54" s="20">
        <v>114</v>
      </c>
      <c r="AO54" s="33">
        <f t="shared" si="13"/>
        <v>0.29381443298969073</v>
      </c>
      <c r="AP54" s="20">
        <v>156</v>
      </c>
      <c r="AQ54" s="33">
        <f t="shared" si="14"/>
        <v>0.40206185567010311</v>
      </c>
      <c r="AR54" s="33">
        <f t="shared" si="15"/>
        <v>0.50862068965517238</v>
      </c>
      <c r="AS54" s="1">
        <v>5</v>
      </c>
      <c r="AT54" s="23">
        <v>-3.03</v>
      </c>
      <c r="AU54" s="20">
        <v>17.12</v>
      </c>
      <c r="AV54" s="35">
        <v>10</v>
      </c>
      <c r="AW54" s="36">
        <v>0.31900000000000001</v>
      </c>
      <c r="AX54" s="1">
        <v>9</v>
      </c>
      <c r="AY54" s="36">
        <v>0.49</v>
      </c>
      <c r="AZ54" s="20">
        <v>50.27</v>
      </c>
      <c r="BA54" s="20">
        <v>17.329999999999998</v>
      </c>
      <c r="BB54" s="36">
        <v>-1.8290000000000002</v>
      </c>
      <c r="BC54" s="36">
        <v>1.4530000000000001</v>
      </c>
      <c r="BD54" s="20">
        <v>51.05</v>
      </c>
      <c r="BE54" s="33">
        <f t="shared" si="16"/>
        <v>6.8627450980392163E-2</v>
      </c>
      <c r="BF54" s="37">
        <f t="shared" si="17"/>
        <v>0.91666666666666663</v>
      </c>
      <c r="BG54" s="35">
        <f t="shared" si="18"/>
        <v>985.29411764705878</v>
      </c>
      <c r="BH54" s="33">
        <f t="shared" si="19"/>
        <v>-1.4705882352941207E-2</v>
      </c>
      <c r="BI54" s="38">
        <f t="shared" si="20"/>
        <v>1.7230769230769232</v>
      </c>
      <c r="BJ54" s="38">
        <f t="shared" si="21"/>
        <v>1.9692307692307693</v>
      </c>
      <c r="BK54" s="32">
        <f t="shared" si="22"/>
        <v>25.107692307692307</v>
      </c>
      <c r="BL54" s="32">
        <f t="shared" si="23"/>
        <v>23.630769230769232</v>
      </c>
      <c r="BM54" s="32">
        <f t="shared" si="24"/>
        <v>49.723076923076924</v>
      </c>
      <c r="BN54" s="32">
        <f t="shared" si="25"/>
        <v>48.861538461538458</v>
      </c>
      <c r="BO54" s="32">
        <f t="shared" si="26"/>
        <v>0.86153846153846558</v>
      </c>
      <c r="BP54" s="20">
        <v>14</v>
      </c>
      <c r="BQ54" s="20">
        <v>16</v>
      </c>
      <c r="BR54" s="35">
        <v>190</v>
      </c>
      <c r="BS54" s="35">
        <v>176</v>
      </c>
      <c r="BT54" s="20">
        <v>85</v>
      </c>
      <c r="BU54" s="20">
        <v>84</v>
      </c>
      <c r="BV54" s="20">
        <v>115</v>
      </c>
      <c r="BW54" s="20">
        <v>121</v>
      </c>
      <c r="BX54" s="20">
        <v>209</v>
      </c>
      <c r="BY54" s="20">
        <v>168</v>
      </c>
      <c r="BZ54" s="33">
        <f t="shared" si="27"/>
        <v>0.55437665782493373</v>
      </c>
      <c r="CA54" s="23">
        <v>4.82</v>
      </c>
      <c r="CB54" s="39">
        <f t="shared" si="28"/>
        <v>-0.39835809018567048</v>
      </c>
      <c r="CC54" s="38">
        <f t="shared" si="29"/>
        <v>2.1042889500474931</v>
      </c>
      <c r="CD54" s="38">
        <f t="shared" si="30"/>
        <v>2.1042889500474931</v>
      </c>
      <c r="CE54" s="32">
        <f t="shared" si="31"/>
        <v>28.9047468277357</v>
      </c>
      <c r="CF54" s="32">
        <f t="shared" si="32"/>
        <v>27.151172702696122</v>
      </c>
      <c r="CG54" s="32">
        <f t="shared" si="33"/>
        <v>54.974548819990744</v>
      </c>
      <c r="CH54" s="32">
        <f t="shared" si="34"/>
        <v>52.841033634525935</v>
      </c>
      <c r="CI54" s="32">
        <f t="shared" si="35"/>
        <v>-1.2719767239263433</v>
      </c>
      <c r="CJ54">
        <v>2052.9499999999998</v>
      </c>
      <c r="CK54">
        <v>72</v>
      </c>
      <c r="CL54">
        <v>72</v>
      </c>
      <c r="CM54" s="35">
        <v>917</v>
      </c>
      <c r="CN54">
        <v>857</v>
      </c>
      <c r="CO54">
        <v>395</v>
      </c>
      <c r="CP54">
        <v>394</v>
      </c>
      <c r="CQ54">
        <v>497</v>
      </c>
      <c r="CR54">
        <v>485</v>
      </c>
      <c r="CS54" s="20">
        <v>4</v>
      </c>
      <c r="CT54" s="20">
        <v>5</v>
      </c>
      <c r="CU54" s="35">
        <f t="shared" si="36"/>
        <v>1</v>
      </c>
      <c r="CV54" s="38">
        <f t="shared" si="37"/>
        <v>0.49718606497945655</v>
      </c>
      <c r="CW54" s="38">
        <f t="shared" si="38"/>
        <v>0.62148258122432065</v>
      </c>
      <c r="CX54" s="38">
        <f t="shared" si="39"/>
        <v>0.12429651624486414</v>
      </c>
      <c r="CY54" s="40">
        <v>17.149999999999999</v>
      </c>
      <c r="CZ54" s="40">
        <v>15.33</v>
      </c>
      <c r="DA54" s="40">
        <v>19.05</v>
      </c>
      <c r="DB54" s="40">
        <v>18.100000000000001</v>
      </c>
      <c r="DC54" s="40">
        <v>21.13</v>
      </c>
      <c r="DD54" s="40">
        <v>14.76</v>
      </c>
      <c r="DE54">
        <v>0</v>
      </c>
      <c r="DF54">
        <v>2</v>
      </c>
      <c r="DG54" s="33">
        <f t="shared" si="40"/>
        <v>0</v>
      </c>
      <c r="DH54">
        <v>-0.01</v>
      </c>
      <c r="DI54">
        <v>-0.48</v>
      </c>
      <c r="DJ54">
        <v>2</v>
      </c>
      <c r="DK54">
        <v>0</v>
      </c>
      <c r="DL54">
        <v>0</v>
      </c>
      <c r="DM54" s="1" t="s">
        <v>358</v>
      </c>
      <c r="DN54" t="s">
        <v>359</v>
      </c>
    </row>
    <row r="55" spans="1:118" x14ac:dyDescent="0.25">
      <c r="A55" t="s">
        <v>360</v>
      </c>
      <c r="B55" t="s">
        <v>361</v>
      </c>
      <c r="C55" s="1" t="s">
        <v>136</v>
      </c>
      <c r="D55" s="2" t="s">
        <v>142</v>
      </c>
      <c r="E55">
        <v>69</v>
      </c>
      <c r="F55">
        <f>(10/69)</f>
        <v>0.14492753623188406</v>
      </c>
      <c r="G55" t="s">
        <v>539</v>
      </c>
      <c r="H55">
        <f>(33/36)</f>
        <v>0.91666666666666663</v>
      </c>
      <c r="I55">
        <v>3</v>
      </c>
      <c r="J55">
        <v>5</v>
      </c>
      <c r="K55" s="29">
        <f t="shared" si="0"/>
        <v>8</v>
      </c>
      <c r="L55" s="30">
        <f t="shared" si="1"/>
        <v>0.38722168441432725</v>
      </c>
      <c r="M55" s="20">
        <v>3</v>
      </c>
      <c r="N55" s="20">
        <v>2</v>
      </c>
      <c r="O55" s="20">
        <v>1</v>
      </c>
      <c r="P55" s="20">
        <v>109</v>
      </c>
      <c r="Q55" s="20">
        <v>50</v>
      </c>
      <c r="R55" s="20">
        <v>66</v>
      </c>
      <c r="S55" s="20">
        <v>74</v>
      </c>
      <c r="T55" s="31">
        <f t="shared" si="2"/>
        <v>2.7522935779816515E-2</v>
      </c>
      <c r="U55" s="31">
        <f t="shared" si="3"/>
        <v>1.3333333333333334E-2</v>
      </c>
      <c r="V55">
        <v>74376</v>
      </c>
      <c r="W55" s="32">
        <f t="shared" si="4"/>
        <v>17.965217391304346</v>
      </c>
      <c r="X55" s="23">
        <v>1181.47</v>
      </c>
      <c r="Y55" s="32">
        <f t="shared" si="5"/>
        <v>17.122753623188405</v>
      </c>
      <c r="Z55" s="23">
        <v>2158.69</v>
      </c>
      <c r="AA55" s="32">
        <f t="shared" si="6"/>
        <v>31.28536231884058</v>
      </c>
      <c r="AB55" s="33">
        <f t="shared" si="7"/>
        <v>0.35371658842690168</v>
      </c>
      <c r="AC55" s="34">
        <f t="shared" si="8"/>
        <v>26.1</v>
      </c>
      <c r="AD55" s="20">
        <v>81</v>
      </c>
      <c r="AE55" s="20">
        <v>155</v>
      </c>
      <c r="AF55" s="20">
        <v>95</v>
      </c>
      <c r="AG55" s="20">
        <v>34</v>
      </c>
      <c r="AH55" s="20">
        <v>10</v>
      </c>
      <c r="AI55" s="31">
        <f t="shared" si="9"/>
        <v>7.4999999999999997E-2</v>
      </c>
      <c r="AJ55" s="31">
        <f t="shared" si="10"/>
        <v>7.4999999999999997E-2</v>
      </c>
      <c r="AK55" s="31">
        <f t="shared" si="11"/>
        <v>0.15</v>
      </c>
      <c r="AL55" s="20">
        <v>314</v>
      </c>
      <c r="AM55" s="33">
        <f t="shared" si="12"/>
        <v>0.30134357005758156</v>
      </c>
      <c r="AN55" s="20">
        <v>364</v>
      </c>
      <c r="AO55" s="33">
        <f t="shared" si="13"/>
        <v>0.34932821497120919</v>
      </c>
      <c r="AP55" s="20">
        <v>364</v>
      </c>
      <c r="AQ55" s="33">
        <f t="shared" si="14"/>
        <v>0.34932821497120919</v>
      </c>
      <c r="AR55" s="33">
        <f t="shared" si="15"/>
        <v>0.46312684365781709</v>
      </c>
      <c r="AS55" s="1">
        <v>3</v>
      </c>
      <c r="AT55" s="23">
        <v>-2.4</v>
      </c>
      <c r="AU55" s="20">
        <v>17.37</v>
      </c>
      <c r="AV55" s="35">
        <v>5</v>
      </c>
      <c r="AW55" s="36">
        <v>0.38100000000000001</v>
      </c>
      <c r="AX55" s="1">
        <v>5</v>
      </c>
      <c r="AY55" s="36">
        <v>0.45500000000000002</v>
      </c>
      <c r="AZ55" s="20">
        <v>50.17</v>
      </c>
      <c r="BA55" s="20">
        <v>16.77</v>
      </c>
      <c r="BB55" s="36">
        <v>0.35899999999999999</v>
      </c>
      <c r="BC55" s="36">
        <v>-2.2320000000000002</v>
      </c>
      <c r="BD55" s="20">
        <v>48.89</v>
      </c>
      <c r="BE55" s="33">
        <f t="shared" si="16"/>
        <v>7.662835249042145E-2</v>
      </c>
      <c r="BF55" s="37">
        <f t="shared" si="17"/>
        <v>0.91153238546603477</v>
      </c>
      <c r="BG55" s="35">
        <f t="shared" si="18"/>
        <v>988.16073795645616</v>
      </c>
      <c r="BH55" s="33">
        <f t="shared" si="19"/>
        <v>-1.1839262043543783E-2</v>
      </c>
      <c r="BI55" s="38">
        <f t="shared" si="20"/>
        <v>2.0313677029463295</v>
      </c>
      <c r="BJ55" s="38">
        <f t="shared" si="21"/>
        <v>2.8439147841248613</v>
      </c>
      <c r="BK55" s="32">
        <f t="shared" si="22"/>
        <v>26.509348523449603</v>
      </c>
      <c r="BL55" s="32">
        <f t="shared" si="23"/>
        <v>32.14639389912567</v>
      </c>
      <c r="BM55" s="32">
        <f t="shared" si="24"/>
        <v>51.444387077115799</v>
      </c>
      <c r="BN55" s="32">
        <f t="shared" si="25"/>
        <v>61.194952051258177</v>
      </c>
      <c r="BO55" s="32">
        <f t="shared" si="26"/>
        <v>-9.7505649741423781</v>
      </c>
      <c r="BP55" s="20">
        <v>40</v>
      </c>
      <c r="BQ55" s="20">
        <v>56</v>
      </c>
      <c r="BR55" s="35">
        <v>482</v>
      </c>
      <c r="BS55" s="35">
        <v>577</v>
      </c>
      <c r="BT55" s="20">
        <v>210</v>
      </c>
      <c r="BU55" s="20">
        <v>276</v>
      </c>
      <c r="BV55" s="20">
        <v>281</v>
      </c>
      <c r="BW55" s="20">
        <v>296</v>
      </c>
      <c r="BX55" s="20">
        <v>517</v>
      </c>
      <c r="BY55" s="20">
        <v>586</v>
      </c>
      <c r="BZ55" s="33">
        <f t="shared" si="27"/>
        <v>0.46872166817769717</v>
      </c>
      <c r="CA55" s="23">
        <v>-3.77</v>
      </c>
      <c r="CB55" s="39">
        <f t="shared" si="28"/>
        <v>-6.2686092219299887</v>
      </c>
      <c r="CC55" s="38">
        <f t="shared" si="29"/>
        <v>2.0694349897889719</v>
      </c>
      <c r="CD55" s="38">
        <f t="shared" si="30"/>
        <v>2.4506466984343094</v>
      </c>
      <c r="CE55" s="32">
        <f t="shared" si="31"/>
        <v>28.645336963921036</v>
      </c>
      <c r="CF55" s="32">
        <f t="shared" si="32"/>
        <v>30.206489675516227</v>
      </c>
      <c r="CG55" s="32">
        <f t="shared" si="33"/>
        <v>54.767415475380076</v>
      </c>
      <c r="CH55" s="32">
        <f t="shared" si="34"/>
        <v>57.072838665759022</v>
      </c>
      <c r="CI55" s="32">
        <f t="shared" si="35"/>
        <v>-7.4451417837634324</v>
      </c>
      <c r="CJ55">
        <v>3305.25</v>
      </c>
      <c r="CK55">
        <v>114</v>
      </c>
      <c r="CL55">
        <v>135</v>
      </c>
      <c r="CM55" s="35">
        <v>1464</v>
      </c>
      <c r="CN55">
        <v>1529</v>
      </c>
      <c r="CO55">
        <v>606</v>
      </c>
      <c r="CP55">
        <v>667</v>
      </c>
      <c r="CQ55">
        <v>833</v>
      </c>
      <c r="CR55">
        <v>813</v>
      </c>
      <c r="CS55" s="20">
        <v>14</v>
      </c>
      <c r="CT55" s="20">
        <v>6</v>
      </c>
      <c r="CU55" s="35">
        <f t="shared" si="36"/>
        <v>-8</v>
      </c>
      <c r="CV55" s="38">
        <f t="shared" si="37"/>
        <v>0.67763794772507258</v>
      </c>
      <c r="CW55" s="38">
        <f t="shared" si="38"/>
        <v>0.29041626331074544</v>
      </c>
      <c r="CX55" s="38">
        <f t="shared" si="39"/>
        <v>-0.38722168441432725</v>
      </c>
      <c r="CY55" s="40">
        <v>41.1</v>
      </c>
      <c r="CZ55" s="40">
        <v>50.29</v>
      </c>
      <c r="DA55" s="40">
        <v>36.56</v>
      </c>
      <c r="DB55" s="40">
        <v>52.54</v>
      </c>
      <c r="DC55" s="40">
        <v>49.12</v>
      </c>
      <c r="DD55" s="40">
        <v>46.66</v>
      </c>
      <c r="DE55">
        <v>0</v>
      </c>
      <c r="DF55">
        <v>0</v>
      </c>
      <c r="DG55" s="33" t="str">
        <f t="shared" si="40"/>
        <v xml:space="preserve"> </v>
      </c>
      <c r="DH55">
        <v>0</v>
      </c>
      <c r="DI55">
        <v>0</v>
      </c>
      <c r="DJ55">
        <v>0</v>
      </c>
      <c r="DK55">
        <v>0</v>
      </c>
      <c r="DL55">
        <v>0</v>
      </c>
      <c r="DM55" s="1" t="s">
        <v>362</v>
      </c>
      <c r="DN55" t="s">
        <v>363</v>
      </c>
    </row>
    <row r="56" spans="1:118" ht="26.25" x14ac:dyDescent="0.25">
      <c r="A56" t="s">
        <v>364</v>
      </c>
      <c r="B56" t="s">
        <v>365</v>
      </c>
      <c r="C56" s="1" t="s">
        <v>250</v>
      </c>
      <c r="D56" s="2" t="s">
        <v>366</v>
      </c>
      <c r="E56">
        <v>57</v>
      </c>
      <c r="F56">
        <f>(10/57)</f>
        <v>0.17543859649122806</v>
      </c>
      <c r="G56" t="s">
        <v>544</v>
      </c>
      <c r="H56">
        <f>(44/76)</f>
        <v>0.57894736842105265</v>
      </c>
      <c r="I56">
        <v>3</v>
      </c>
      <c r="J56">
        <v>7</v>
      </c>
      <c r="K56" s="29">
        <f t="shared" si="0"/>
        <v>10</v>
      </c>
      <c r="L56" s="30">
        <f t="shared" si="1"/>
        <v>1.1448560979487994</v>
      </c>
      <c r="M56" s="20">
        <v>2</v>
      </c>
      <c r="N56" s="20">
        <v>4</v>
      </c>
      <c r="O56" s="20">
        <v>2</v>
      </c>
      <c r="P56" s="20">
        <v>51</v>
      </c>
      <c r="Q56" s="20">
        <v>15</v>
      </c>
      <c r="R56" s="20">
        <v>20</v>
      </c>
      <c r="S56" s="20">
        <v>49</v>
      </c>
      <c r="T56" s="31">
        <f t="shared" si="2"/>
        <v>5.8823529411764705E-2</v>
      </c>
      <c r="U56" s="31">
        <f t="shared" si="3"/>
        <v>3.4883720930232558E-2</v>
      </c>
      <c r="V56">
        <v>31445</v>
      </c>
      <c r="W56" s="32">
        <f t="shared" si="4"/>
        <v>9.1944444444444446</v>
      </c>
      <c r="X56" s="23">
        <v>506.32</v>
      </c>
      <c r="Y56" s="32">
        <f t="shared" si="5"/>
        <v>8.8828070175438594</v>
      </c>
      <c r="Z56" s="23">
        <v>2214.37</v>
      </c>
      <c r="AA56" s="32">
        <f t="shared" si="6"/>
        <v>38.848596491228065</v>
      </c>
      <c r="AB56" s="33">
        <f t="shared" si="7"/>
        <v>0.18609984967048801</v>
      </c>
      <c r="AC56" s="34">
        <f t="shared" si="8"/>
        <v>60.307692307692307</v>
      </c>
      <c r="AD56" s="20">
        <v>40</v>
      </c>
      <c r="AE56" s="20">
        <v>74</v>
      </c>
      <c r="AF56" s="20">
        <v>52</v>
      </c>
      <c r="AG56" s="20">
        <v>9</v>
      </c>
      <c r="AH56" s="20">
        <v>9</v>
      </c>
      <c r="AI56" s="31">
        <f t="shared" si="9"/>
        <v>0.15384615384615385</v>
      </c>
      <c r="AJ56" s="31">
        <f t="shared" si="10"/>
        <v>0.46153846153846156</v>
      </c>
      <c r="AK56" s="31">
        <f t="shared" si="11"/>
        <v>0.61538461538461542</v>
      </c>
      <c r="AL56" s="20">
        <v>62</v>
      </c>
      <c r="AM56" s="33">
        <f t="shared" si="12"/>
        <v>0.12375249500998003</v>
      </c>
      <c r="AN56" s="20">
        <v>276</v>
      </c>
      <c r="AO56" s="33">
        <f t="shared" si="13"/>
        <v>0.55089820359281438</v>
      </c>
      <c r="AP56" s="20">
        <v>163</v>
      </c>
      <c r="AQ56" s="33">
        <f t="shared" si="14"/>
        <v>0.32534930139720558</v>
      </c>
      <c r="AR56" s="33">
        <f t="shared" si="15"/>
        <v>0.18343195266272189</v>
      </c>
      <c r="AS56" s="1">
        <v>3</v>
      </c>
      <c r="AT56" s="23">
        <v>-40.43</v>
      </c>
      <c r="AU56" s="20">
        <v>16.940000000000001</v>
      </c>
      <c r="AV56" s="35">
        <v>15</v>
      </c>
      <c r="AW56" s="36">
        <v>0.36199999999999999</v>
      </c>
      <c r="AX56" s="1">
        <v>10</v>
      </c>
      <c r="AY56" s="36">
        <v>0.129</v>
      </c>
      <c r="AZ56" s="20">
        <v>50.05</v>
      </c>
      <c r="BA56" s="20">
        <v>16.45</v>
      </c>
      <c r="BB56" s="36">
        <v>-7.3579999999999997</v>
      </c>
      <c r="BC56" s="36">
        <v>-0.56200000000000006</v>
      </c>
      <c r="BD56" s="20">
        <v>49.79</v>
      </c>
      <c r="BE56" s="33">
        <f t="shared" si="16"/>
        <v>6.6326530612244902E-2</v>
      </c>
      <c r="BF56" s="37">
        <f t="shared" si="17"/>
        <v>0.89756097560975612</v>
      </c>
      <c r="BG56" s="35">
        <f t="shared" si="18"/>
        <v>963.88750622200109</v>
      </c>
      <c r="BH56" s="33">
        <f t="shared" si="19"/>
        <v>-3.611249377799898E-2</v>
      </c>
      <c r="BI56" s="38">
        <f t="shared" si="20"/>
        <v>1.5405277294991311</v>
      </c>
      <c r="BJ56" s="38">
        <f t="shared" si="21"/>
        <v>2.4885447938062888</v>
      </c>
      <c r="BK56" s="32">
        <f t="shared" si="22"/>
        <v>23.226418075525359</v>
      </c>
      <c r="BL56" s="32">
        <f t="shared" si="23"/>
        <v>24.292937272870912</v>
      </c>
      <c r="BM56" s="32">
        <f t="shared" si="24"/>
        <v>43.727287091167639</v>
      </c>
      <c r="BN56" s="32">
        <f t="shared" si="25"/>
        <v>52.614947069047247</v>
      </c>
      <c r="BO56" s="32">
        <f t="shared" si="26"/>
        <v>-8.8876599778796077</v>
      </c>
      <c r="BP56" s="20">
        <v>13</v>
      </c>
      <c r="BQ56" s="20">
        <v>21</v>
      </c>
      <c r="BR56" s="35">
        <v>183</v>
      </c>
      <c r="BS56" s="35">
        <v>184</v>
      </c>
      <c r="BT56" s="20">
        <v>71</v>
      </c>
      <c r="BU56" s="20">
        <v>86</v>
      </c>
      <c r="BV56" s="20">
        <v>102</v>
      </c>
      <c r="BW56" s="20">
        <v>153</v>
      </c>
      <c r="BX56" s="20">
        <v>151</v>
      </c>
      <c r="BY56" s="20">
        <v>166</v>
      </c>
      <c r="BZ56" s="33">
        <f t="shared" si="27"/>
        <v>0.47634069400630913</v>
      </c>
      <c r="CA56" s="23">
        <v>-7.55</v>
      </c>
      <c r="CB56" s="39">
        <f t="shared" si="28"/>
        <v>-0.68902684178493345</v>
      </c>
      <c r="CC56" s="38">
        <f t="shared" si="29"/>
        <v>2.1371784590359222</v>
      </c>
      <c r="CD56" s="38">
        <f t="shared" si="30"/>
        <v>2.071080156179141</v>
      </c>
      <c r="CE56" s="32">
        <f t="shared" si="31"/>
        <v>29.744236285551494</v>
      </c>
      <c r="CF56" s="32">
        <f t="shared" si="32"/>
        <v>26.461353910331365</v>
      </c>
      <c r="CG56" s="32">
        <f t="shared" si="33"/>
        <v>56.381852336834271</v>
      </c>
      <c r="CH56" s="32">
        <f t="shared" si="34"/>
        <v>50.521136150199688</v>
      </c>
      <c r="CI56" s="32">
        <f t="shared" si="35"/>
        <v>-14.748376164514191</v>
      </c>
      <c r="CJ56">
        <v>2723.2166670000001</v>
      </c>
      <c r="CK56">
        <v>97</v>
      </c>
      <c r="CL56">
        <v>94</v>
      </c>
      <c r="CM56" s="35">
        <v>1253</v>
      </c>
      <c r="CN56">
        <v>1107</v>
      </c>
      <c r="CO56">
        <v>526</v>
      </c>
      <c r="CP56">
        <v>417</v>
      </c>
      <c r="CQ56">
        <v>683</v>
      </c>
      <c r="CR56">
        <v>675</v>
      </c>
      <c r="CS56" s="20">
        <v>5</v>
      </c>
      <c r="CT56" s="20">
        <v>1</v>
      </c>
      <c r="CU56" s="35">
        <f t="shared" si="36"/>
        <v>-4</v>
      </c>
      <c r="CV56" s="38">
        <f t="shared" si="37"/>
        <v>0.57242804897439969</v>
      </c>
      <c r="CW56" s="38">
        <f t="shared" si="38"/>
        <v>0.11448560979487994</v>
      </c>
      <c r="CX56" s="38">
        <f t="shared" si="39"/>
        <v>-0.45794243917951977</v>
      </c>
      <c r="CY56" s="40">
        <v>12.48</v>
      </c>
      <c r="CZ56" s="40">
        <v>14.38</v>
      </c>
      <c r="DA56" s="40">
        <v>14.82</v>
      </c>
      <c r="DB56" s="40">
        <v>16.77</v>
      </c>
      <c r="DC56" s="40">
        <v>17.91</v>
      </c>
      <c r="DD56" s="40">
        <v>18.68</v>
      </c>
      <c r="DE56">
        <v>6</v>
      </c>
      <c r="DF56">
        <v>6</v>
      </c>
      <c r="DG56" s="33">
        <f t="shared" si="40"/>
        <v>0.5</v>
      </c>
      <c r="DH56">
        <v>0.02</v>
      </c>
      <c r="DI56">
        <v>0.49</v>
      </c>
      <c r="DJ56">
        <v>2</v>
      </c>
      <c r="DK56">
        <v>6</v>
      </c>
      <c r="DL56">
        <v>4</v>
      </c>
      <c r="DM56" s="1" t="s">
        <v>367</v>
      </c>
      <c r="DN56" t="s">
        <v>368</v>
      </c>
    </row>
    <row r="57" spans="1:118" x14ac:dyDescent="0.25">
      <c r="A57" t="s">
        <v>369</v>
      </c>
      <c r="B57" t="s">
        <v>370</v>
      </c>
      <c r="C57" s="1" t="s">
        <v>229</v>
      </c>
      <c r="D57" s="2" t="s">
        <v>3</v>
      </c>
      <c r="E57">
        <v>23</v>
      </c>
      <c r="F57">
        <f>(9/23)</f>
        <v>0.39130434782608697</v>
      </c>
      <c r="G57" t="s">
        <v>544</v>
      </c>
      <c r="H57">
        <f>(39/76)</f>
        <v>0.51315789473684215</v>
      </c>
      <c r="I57">
        <v>5</v>
      </c>
      <c r="J57">
        <v>3</v>
      </c>
      <c r="K57" s="29">
        <f t="shared" si="0"/>
        <v>8</v>
      </c>
      <c r="L57" s="30">
        <f t="shared" si="1"/>
        <v>1.8767105434640947</v>
      </c>
      <c r="M57" s="20">
        <v>4</v>
      </c>
      <c r="N57" s="20">
        <v>0</v>
      </c>
      <c r="O57" s="20">
        <v>3</v>
      </c>
      <c r="P57" s="20">
        <v>31</v>
      </c>
      <c r="Q57" s="20">
        <v>17</v>
      </c>
      <c r="R57" s="20">
        <v>14</v>
      </c>
      <c r="S57" s="20">
        <v>41</v>
      </c>
      <c r="T57" s="31">
        <f t="shared" si="2"/>
        <v>0.16129032258064516</v>
      </c>
      <c r="U57" s="31">
        <f t="shared" si="3"/>
        <v>8.0645161290322578E-2</v>
      </c>
      <c r="V57">
        <v>15346</v>
      </c>
      <c r="W57" s="32">
        <f t="shared" si="4"/>
        <v>11.120289855072464</v>
      </c>
      <c r="X57" s="23">
        <v>248.07</v>
      </c>
      <c r="Y57" s="32">
        <f t="shared" si="5"/>
        <v>10.785652173913043</v>
      </c>
      <c r="Z57" s="23">
        <v>856.24</v>
      </c>
      <c r="AA57" s="32">
        <f t="shared" si="6"/>
        <v>37.227826086956519</v>
      </c>
      <c r="AB57" s="33">
        <f t="shared" si="7"/>
        <v>0.22463800925464769</v>
      </c>
      <c r="AC57" s="34">
        <f t="shared" si="8"/>
        <v>0</v>
      </c>
      <c r="AD57" s="20">
        <v>5</v>
      </c>
      <c r="AE57" s="20">
        <v>25</v>
      </c>
      <c r="AF57" s="20">
        <v>36</v>
      </c>
      <c r="AG57" s="20">
        <v>4</v>
      </c>
      <c r="AH57" s="20">
        <v>7</v>
      </c>
      <c r="AI57" s="31">
        <f t="shared" si="9"/>
        <v>0.44444444444444442</v>
      </c>
      <c r="AJ57" s="31">
        <f t="shared" si="10"/>
        <v>0.33333333333333331</v>
      </c>
      <c r="AK57" s="31">
        <f t="shared" si="11"/>
        <v>0.77777777777777768</v>
      </c>
      <c r="AL57" s="20">
        <v>95</v>
      </c>
      <c r="AM57" s="33">
        <f t="shared" si="12"/>
        <v>0.37698412698412698</v>
      </c>
      <c r="AN57" s="20">
        <v>66</v>
      </c>
      <c r="AO57" s="33">
        <f t="shared" si="13"/>
        <v>0.26190476190476192</v>
      </c>
      <c r="AP57" s="20">
        <v>91</v>
      </c>
      <c r="AQ57" s="33">
        <f t="shared" si="14"/>
        <v>0.3611111111111111</v>
      </c>
      <c r="AR57" s="33">
        <f t="shared" si="15"/>
        <v>0.59006211180124224</v>
      </c>
      <c r="AS57" s="1">
        <v>14</v>
      </c>
      <c r="AT57" s="23">
        <v>6.59</v>
      </c>
      <c r="AU57" s="20">
        <v>17.079999999999998</v>
      </c>
      <c r="AV57" s="35">
        <v>11</v>
      </c>
      <c r="AW57" s="36">
        <v>-0.52500000000000002</v>
      </c>
      <c r="AX57" s="1">
        <v>15</v>
      </c>
      <c r="AY57" s="36">
        <v>0.36799999999999999</v>
      </c>
      <c r="AZ57" s="20">
        <v>50.48</v>
      </c>
      <c r="BA57" s="20">
        <v>17.43</v>
      </c>
      <c r="BB57" s="36">
        <v>-0.16900000000000001</v>
      </c>
      <c r="BC57" s="36">
        <v>3.9319999999999999</v>
      </c>
      <c r="BD57" s="20">
        <v>51.69</v>
      </c>
      <c r="BE57" s="33">
        <f t="shared" si="16"/>
        <v>6.569343065693431E-2</v>
      </c>
      <c r="BF57" s="37">
        <f t="shared" si="17"/>
        <v>0.90099009900990101</v>
      </c>
      <c r="BG57" s="35">
        <f t="shared" si="18"/>
        <v>966.68352966683528</v>
      </c>
      <c r="BH57" s="33">
        <f t="shared" si="19"/>
        <v>-3.3316470333164677E-2</v>
      </c>
      <c r="BI57" s="38">
        <f t="shared" si="20"/>
        <v>2.1768049340911841</v>
      </c>
      <c r="BJ57" s="38">
        <f t="shared" si="21"/>
        <v>2.4186721489902041</v>
      </c>
      <c r="BK57" s="32">
        <f t="shared" si="22"/>
        <v>33.1358084411658</v>
      </c>
      <c r="BL57" s="32">
        <f t="shared" si="23"/>
        <v>24.428588704801065</v>
      </c>
      <c r="BM57" s="32">
        <f t="shared" si="24"/>
        <v>59.983069294957069</v>
      </c>
      <c r="BN57" s="32">
        <f t="shared" si="25"/>
        <v>48.131575764905065</v>
      </c>
      <c r="BO57" s="32">
        <f t="shared" si="26"/>
        <v>11.851493530052004</v>
      </c>
      <c r="BP57" s="20">
        <v>9</v>
      </c>
      <c r="BQ57" s="20">
        <v>10</v>
      </c>
      <c r="BR57" s="35">
        <v>128</v>
      </c>
      <c r="BS57" s="35">
        <v>91</v>
      </c>
      <c r="BT57" s="20">
        <v>47</v>
      </c>
      <c r="BU57" s="20">
        <v>47</v>
      </c>
      <c r="BV57" s="20">
        <v>64</v>
      </c>
      <c r="BW57" s="20">
        <v>51</v>
      </c>
      <c r="BX57" s="20">
        <v>119</v>
      </c>
      <c r="BY57" s="20">
        <v>100</v>
      </c>
      <c r="BZ57" s="33">
        <f t="shared" si="27"/>
        <v>0.54337899543378998</v>
      </c>
      <c r="CA57" s="23">
        <v>5.1100000000000003</v>
      </c>
      <c r="CB57" s="39">
        <f t="shared" si="28"/>
        <v>6.0360028468221891</v>
      </c>
      <c r="CC57" s="38">
        <f t="shared" si="29"/>
        <v>1.8469895880488909</v>
      </c>
      <c r="CD57" s="38">
        <f t="shared" si="30"/>
        <v>2.5531914893617023</v>
      </c>
      <c r="CE57" s="32">
        <f t="shared" si="31"/>
        <v>31.072883657763697</v>
      </c>
      <c r="CF57" s="32">
        <f t="shared" si="32"/>
        <v>27.487550928021729</v>
      </c>
      <c r="CG57" s="32">
        <f t="shared" si="33"/>
        <v>58.777727478497056</v>
      </c>
      <c r="CH57" s="32">
        <f t="shared" si="34"/>
        <v>50.303304662743322</v>
      </c>
      <c r="CI57" s="32">
        <f t="shared" si="35"/>
        <v>3.3770707142982701</v>
      </c>
      <c r="CJ57">
        <v>1104.5</v>
      </c>
      <c r="CK57">
        <v>34</v>
      </c>
      <c r="CL57">
        <v>47</v>
      </c>
      <c r="CM57" s="35">
        <v>538</v>
      </c>
      <c r="CN57">
        <v>459</v>
      </c>
      <c r="CO57">
        <v>218</v>
      </c>
      <c r="CP57">
        <v>188</v>
      </c>
      <c r="CQ57">
        <v>292</v>
      </c>
      <c r="CR57">
        <v>232</v>
      </c>
      <c r="CS57" s="20">
        <v>3</v>
      </c>
      <c r="CT57" s="20">
        <v>3</v>
      </c>
      <c r="CU57" s="35">
        <f t="shared" si="36"/>
        <v>0</v>
      </c>
      <c r="CV57" s="38">
        <f t="shared" si="37"/>
        <v>0.70376645379903557</v>
      </c>
      <c r="CW57" s="38">
        <f t="shared" si="38"/>
        <v>0.70376645379903557</v>
      </c>
      <c r="CX57" s="38">
        <f t="shared" si="39"/>
        <v>0</v>
      </c>
      <c r="CY57" s="40">
        <v>9.3800000000000008</v>
      </c>
      <c r="CZ57" s="40">
        <v>6.59</v>
      </c>
      <c r="DA57" s="40">
        <v>5.14</v>
      </c>
      <c r="DB57" s="40">
        <v>11.43</v>
      </c>
      <c r="DC57" s="40">
        <v>8.61</v>
      </c>
      <c r="DD57" s="40">
        <v>9.08</v>
      </c>
      <c r="DE57">
        <v>0</v>
      </c>
      <c r="DF57">
        <v>0</v>
      </c>
      <c r="DG57" s="33" t="str">
        <f t="shared" si="40"/>
        <v xml:space="preserve"> </v>
      </c>
      <c r="DH57">
        <v>0</v>
      </c>
      <c r="DI57">
        <v>0</v>
      </c>
      <c r="DJ57">
        <v>0</v>
      </c>
      <c r="DK57">
        <v>0</v>
      </c>
      <c r="DL57">
        <v>0</v>
      </c>
      <c r="DM57" s="1" t="s">
        <v>371</v>
      </c>
      <c r="DN57" t="s">
        <v>372</v>
      </c>
    </row>
    <row r="58" spans="1:118" x14ac:dyDescent="0.25">
      <c r="A58" t="s">
        <v>373</v>
      </c>
      <c r="B58" t="s">
        <v>374</v>
      </c>
      <c r="C58" s="1" t="s">
        <v>2</v>
      </c>
      <c r="D58" s="2" t="s">
        <v>239</v>
      </c>
      <c r="E58">
        <v>44</v>
      </c>
      <c r="F58">
        <f>(9/44)</f>
        <v>0.20454545454545456</v>
      </c>
      <c r="G58" t="s">
        <v>544</v>
      </c>
      <c r="H58">
        <f>(27/73)</f>
        <v>0.36986301369863012</v>
      </c>
      <c r="I58">
        <v>4</v>
      </c>
      <c r="J58">
        <v>5</v>
      </c>
      <c r="K58" s="29">
        <f t="shared" si="0"/>
        <v>9</v>
      </c>
      <c r="L58" s="30">
        <f t="shared" si="1"/>
        <v>1.3513513513513513</v>
      </c>
      <c r="M58" s="20">
        <v>4</v>
      </c>
      <c r="N58" s="20">
        <v>1</v>
      </c>
      <c r="O58" s="20">
        <v>4</v>
      </c>
      <c r="P58" s="20">
        <v>38</v>
      </c>
      <c r="Q58" s="20">
        <v>11</v>
      </c>
      <c r="R58" s="20">
        <v>14</v>
      </c>
      <c r="S58" s="20">
        <v>41</v>
      </c>
      <c r="T58" s="31">
        <f t="shared" si="2"/>
        <v>0.10526315789473684</v>
      </c>
      <c r="U58" s="31">
        <f t="shared" si="3"/>
        <v>6.3492063492063489E-2</v>
      </c>
      <c r="V58">
        <v>23976</v>
      </c>
      <c r="W58" s="32">
        <f t="shared" si="4"/>
        <v>9.081818181818182</v>
      </c>
      <c r="X58" s="23">
        <v>416.65</v>
      </c>
      <c r="Y58" s="32">
        <f t="shared" si="5"/>
        <v>9.4693181818181813</v>
      </c>
      <c r="Z58" s="23">
        <v>1729.94</v>
      </c>
      <c r="AA58" s="32">
        <f t="shared" si="6"/>
        <v>39.316818181818185</v>
      </c>
      <c r="AB58" s="33">
        <f t="shared" si="7"/>
        <v>0.1940985469977965</v>
      </c>
      <c r="AC58" s="34">
        <f t="shared" si="8"/>
        <v>10.333333333333334</v>
      </c>
      <c r="AD58" s="20">
        <v>20</v>
      </c>
      <c r="AE58" s="20">
        <v>36</v>
      </c>
      <c r="AF58" s="20">
        <v>62</v>
      </c>
      <c r="AG58" s="20">
        <v>5</v>
      </c>
      <c r="AH58" s="20">
        <v>7</v>
      </c>
      <c r="AI58" s="31">
        <f t="shared" si="9"/>
        <v>0.22222222222222221</v>
      </c>
      <c r="AJ58" s="31">
        <f t="shared" si="10"/>
        <v>0.27777777777777779</v>
      </c>
      <c r="AK58" s="31">
        <f t="shared" si="11"/>
        <v>0.5</v>
      </c>
      <c r="AL58" s="20">
        <v>130</v>
      </c>
      <c r="AM58" s="33">
        <f t="shared" si="12"/>
        <v>0.33766233766233766</v>
      </c>
      <c r="AN58" s="20">
        <v>118</v>
      </c>
      <c r="AO58" s="33">
        <f t="shared" si="13"/>
        <v>0.30649350649350648</v>
      </c>
      <c r="AP58" s="20">
        <v>137</v>
      </c>
      <c r="AQ58" s="33">
        <f t="shared" si="14"/>
        <v>0.35584415584415585</v>
      </c>
      <c r="AR58" s="33">
        <f t="shared" si="15"/>
        <v>0.52419354838709675</v>
      </c>
      <c r="AS58" s="1">
        <v>8</v>
      </c>
      <c r="AT58" s="23">
        <v>4.16</v>
      </c>
      <c r="AU58" s="20">
        <v>16.54</v>
      </c>
      <c r="AV58" s="35">
        <v>16</v>
      </c>
      <c r="AW58" s="36">
        <v>-0.92900000000000005</v>
      </c>
      <c r="AX58" s="1">
        <v>14</v>
      </c>
      <c r="AY58" s="36">
        <v>-0.67600000000000005</v>
      </c>
      <c r="AZ58" s="20">
        <v>49.59</v>
      </c>
      <c r="BA58" s="20">
        <v>16.3</v>
      </c>
      <c r="BB58" s="36">
        <v>-1.5960000000000001</v>
      </c>
      <c r="BC58" s="36">
        <v>0.40800000000000003</v>
      </c>
      <c r="BD58" s="20">
        <v>50.29</v>
      </c>
      <c r="BE58" s="33">
        <f t="shared" si="16"/>
        <v>9.6774193548387094E-2</v>
      </c>
      <c r="BF58" s="37">
        <f t="shared" si="17"/>
        <v>0.95499999999999996</v>
      </c>
      <c r="BG58" s="35">
        <f t="shared" si="18"/>
        <v>1051.7741935483871</v>
      </c>
      <c r="BH58" s="33">
        <f t="shared" si="19"/>
        <v>5.1774193548387054E-2</v>
      </c>
      <c r="BI58" s="38">
        <f t="shared" si="20"/>
        <v>2.5921036841473657</v>
      </c>
      <c r="BJ58" s="38">
        <f t="shared" si="21"/>
        <v>1.2960518420736828</v>
      </c>
      <c r="BK58" s="32">
        <f t="shared" si="22"/>
        <v>26.785071402856115</v>
      </c>
      <c r="BL58" s="32">
        <f t="shared" si="23"/>
        <v>28.801152046081842</v>
      </c>
      <c r="BM58" s="32">
        <f t="shared" si="24"/>
        <v>49.249969998799955</v>
      </c>
      <c r="BN58" s="32">
        <f t="shared" si="25"/>
        <v>50.402016080643229</v>
      </c>
      <c r="BO58" s="32">
        <f t="shared" si="26"/>
        <v>-1.1520460818432738</v>
      </c>
      <c r="BP58" s="20">
        <v>18</v>
      </c>
      <c r="BQ58" s="20">
        <v>9</v>
      </c>
      <c r="BR58" s="35">
        <v>168</v>
      </c>
      <c r="BS58" s="35">
        <v>191</v>
      </c>
      <c r="BT58" s="20">
        <v>69</v>
      </c>
      <c r="BU58" s="20">
        <v>56</v>
      </c>
      <c r="BV58" s="20">
        <v>87</v>
      </c>
      <c r="BW58" s="20">
        <v>94</v>
      </c>
      <c r="BX58" s="20">
        <v>160</v>
      </c>
      <c r="BY58" s="20">
        <v>156</v>
      </c>
      <c r="BZ58" s="33">
        <f t="shared" si="27"/>
        <v>0.50632911392405067</v>
      </c>
      <c r="CA58" s="23">
        <v>2.65</v>
      </c>
      <c r="CB58" s="39">
        <f t="shared" si="28"/>
        <v>-2.9066912431335954</v>
      </c>
      <c r="CC58" s="38">
        <f t="shared" si="29"/>
        <v>2.0406895483833964</v>
      </c>
      <c r="CD58" s="38">
        <f t="shared" si="30"/>
        <v>1.9288709429925253</v>
      </c>
      <c r="CE58" s="32">
        <f t="shared" si="31"/>
        <v>30.442615317664639</v>
      </c>
      <c r="CF58" s="32">
        <f t="shared" si="32"/>
        <v>30.023295547448871</v>
      </c>
      <c r="CG58" s="32">
        <f t="shared" si="33"/>
        <v>54.623388733440507</v>
      </c>
      <c r="CH58" s="32">
        <f t="shared" si="34"/>
        <v>55.098617806351704</v>
      </c>
      <c r="CI58" s="32">
        <f t="shared" si="35"/>
        <v>-0.67681700893207619</v>
      </c>
      <c r="CJ58">
        <v>2146.333333</v>
      </c>
      <c r="CK58">
        <v>73</v>
      </c>
      <c r="CL58">
        <v>69</v>
      </c>
      <c r="CM58" s="35">
        <v>1016</v>
      </c>
      <c r="CN58">
        <v>1005</v>
      </c>
      <c r="CO58">
        <v>364</v>
      </c>
      <c r="CP58">
        <v>370</v>
      </c>
      <c r="CQ58">
        <v>501</v>
      </c>
      <c r="CR58">
        <v>527</v>
      </c>
      <c r="CS58" s="20">
        <v>1</v>
      </c>
      <c r="CT58" s="20">
        <v>6</v>
      </c>
      <c r="CU58" s="35">
        <f t="shared" si="36"/>
        <v>5</v>
      </c>
      <c r="CV58" s="38">
        <f t="shared" si="37"/>
        <v>0.15015015015015015</v>
      </c>
      <c r="CW58" s="38">
        <f t="shared" si="38"/>
        <v>0.90090090090090091</v>
      </c>
      <c r="CX58" s="38">
        <f t="shared" si="39"/>
        <v>0.75075075075075071</v>
      </c>
      <c r="CY58" s="40">
        <v>14.19</v>
      </c>
      <c r="CZ58" s="40">
        <v>13.26</v>
      </c>
      <c r="DA58" s="40">
        <v>10.42</v>
      </c>
      <c r="DB58" s="40">
        <v>22.48</v>
      </c>
      <c r="DC58" s="40">
        <v>15.03</v>
      </c>
      <c r="DD58" s="40">
        <v>18.850000000000001</v>
      </c>
      <c r="DE58">
        <v>142</v>
      </c>
      <c r="DF58">
        <v>161</v>
      </c>
      <c r="DG58" s="33">
        <f t="shared" si="40"/>
        <v>0.46864686468646866</v>
      </c>
      <c r="DH58">
        <v>1.86</v>
      </c>
      <c r="DI58">
        <v>-6.08</v>
      </c>
      <c r="DJ58">
        <v>103</v>
      </c>
      <c r="DK58">
        <v>117</v>
      </c>
      <c r="DL58">
        <v>82</v>
      </c>
      <c r="DM58" s="1" t="s">
        <v>375</v>
      </c>
      <c r="DN58" t="s">
        <v>376</v>
      </c>
    </row>
    <row r="59" spans="1:118" x14ac:dyDescent="0.25">
      <c r="A59" t="s">
        <v>377</v>
      </c>
      <c r="B59" t="s">
        <v>378</v>
      </c>
      <c r="C59" s="1" t="s">
        <v>300</v>
      </c>
      <c r="D59" s="2" t="s">
        <v>131</v>
      </c>
      <c r="E59">
        <v>30</v>
      </c>
      <c r="F59">
        <f>(9/30)</f>
        <v>0.3</v>
      </c>
      <c r="G59" t="s">
        <v>538</v>
      </c>
      <c r="H59">
        <f>(46/37)</f>
        <v>1.2432432432432432</v>
      </c>
      <c r="I59">
        <v>3</v>
      </c>
      <c r="J59">
        <v>6</v>
      </c>
      <c r="K59" s="29">
        <f t="shared" si="0"/>
        <v>9</v>
      </c>
      <c r="L59" s="30">
        <f t="shared" si="1"/>
        <v>1.6894358118677653</v>
      </c>
      <c r="M59" s="20">
        <v>3</v>
      </c>
      <c r="N59" s="20">
        <v>1</v>
      </c>
      <c r="O59" s="20">
        <v>4</v>
      </c>
      <c r="P59" s="20">
        <v>19</v>
      </c>
      <c r="Q59" s="20">
        <v>8</v>
      </c>
      <c r="R59" s="20">
        <v>14</v>
      </c>
      <c r="S59" s="20">
        <v>34</v>
      </c>
      <c r="T59" s="31">
        <f t="shared" si="2"/>
        <v>0.15789473684210525</v>
      </c>
      <c r="U59" s="31">
        <f t="shared" si="3"/>
        <v>7.3170731707317069E-2</v>
      </c>
      <c r="V59">
        <v>19178</v>
      </c>
      <c r="W59" s="32">
        <f t="shared" si="4"/>
        <v>10.654444444444444</v>
      </c>
      <c r="X59" s="23">
        <v>307.33999999999997</v>
      </c>
      <c r="Y59" s="32">
        <f t="shared" si="5"/>
        <v>10.244666666666665</v>
      </c>
      <c r="Z59" s="23">
        <v>1130.99</v>
      </c>
      <c r="AA59" s="32">
        <f t="shared" si="6"/>
        <v>37.699666666666666</v>
      </c>
      <c r="AB59" s="33">
        <f t="shared" si="7"/>
        <v>0.21367836310165259</v>
      </c>
      <c r="AC59" s="34">
        <f t="shared" si="8"/>
        <v>9.6428571428571423</v>
      </c>
      <c r="AD59" s="20">
        <v>4</v>
      </c>
      <c r="AE59" s="20">
        <v>53</v>
      </c>
      <c r="AF59" s="20">
        <v>22</v>
      </c>
      <c r="AG59" s="20">
        <v>2</v>
      </c>
      <c r="AH59" s="20">
        <v>6</v>
      </c>
      <c r="AI59" s="31">
        <f t="shared" si="9"/>
        <v>0.21428571428571427</v>
      </c>
      <c r="AJ59" s="31">
        <f t="shared" si="10"/>
        <v>0.35714285714285715</v>
      </c>
      <c r="AK59" s="31">
        <f t="shared" si="11"/>
        <v>0.5714285714285714</v>
      </c>
      <c r="AL59" s="20">
        <v>84</v>
      </c>
      <c r="AM59" s="33">
        <f t="shared" si="12"/>
        <v>0.32558139534883723</v>
      </c>
      <c r="AN59" s="20">
        <v>74</v>
      </c>
      <c r="AO59" s="33">
        <f t="shared" si="13"/>
        <v>0.2868217054263566</v>
      </c>
      <c r="AP59" s="20">
        <v>100</v>
      </c>
      <c r="AQ59" s="33">
        <f t="shared" si="14"/>
        <v>0.38759689922480622</v>
      </c>
      <c r="AR59" s="33">
        <f t="shared" si="15"/>
        <v>0.53164556962025311</v>
      </c>
      <c r="AS59" s="1">
        <v>10</v>
      </c>
      <c r="AT59" s="23">
        <v>5.24</v>
      </c>
      <c r="AU59" s="20">
        <v>16.88</v>
      </c>
      <c r="AV59" s="35">
        <v>11</v>
      </c>
      <c r="AW59" s="36">
        <v>0.105</v>
      </c>
      <c r="AX59" s="1">
        <v>11</v>
      </c>
      <c r="AY59" s="36">
        <v>0.48</v>
      </c>
      <c r="AZ59" s="20">
        <v>50.24</v>
      </c>
      <c r="BA59" s="20">
        <v>17.34</v>
      </c>
      <c r="BB59" s="36">
        <v>-2.6040000000000001</v>
      </c>
      <c r="BC59" s="36">
        <v>-7.0789999999999997</v>
      </c>
      <c r="BD59" s="20">
        <v>47.87</v>
      </c>
      <c r="BE59" s="33">
        <f t="shared" si="16"/>
        <v>0.1037037037037037</v>
      </c>
      <c r="BF59" s="37">
        <f t="shared" si="17"/>
        <v>0.9438202247191011</v>
      </c>
      <c r="BG59" s="35">
        <f t="shared" si="18"/>
        <v>1047.5239284228048</v>
      </c>
      <c r="BH59" s="33">
        <f t="shared" si="19"/>
        <v>4.7523928422804798E-2</v>
      </c>
      <c r="BI59" s="38">
        <f t="shared" si="20"/>
        <v>2.7331294332010154</v>
      </c>
      <c r="BJ59" s="38">
        <f t="shared" si="21"/>
        <v>1.9522353094292966</v>
      </c>
      <c r="BK59" s="32">
        <f t="shared" si="22"/>
        <v>26.355176677295507</v>
      </c>
      <c r="BL59" s="32">
        <f t="shared" si="23"/>
        <v>34.749788507841487</v>
      </c>
      <c r="BM59" s="32">
        <f t="shared" si="24"/>
        <v>46.85364742630312</v>
      </c>
      <c r="BN59" s="32">
        <f t="shared" si="25"/>
        <v>57.786165159107185</v>
      </c>
      <c r="BO59" s="32">
        <f t="shared" si="26"/>
        <v>-10.932517732804065</v>
      </c>
      <c r="BP59" s="20">
        <v>14</v>
      </c>
      <c r="BQ59" s="20">
        <v>10</v>
      </c>
      <c r="BR59" s="35">
        <v>121</v>
      </c>
      <c r="BS59" s="35">
        <v>168</v>
      </c>
      <c r="BT59" s="20">
        <v>38</v>
      </c>
      <c r="BU59" s="20">
        <v>55</v>
      </c>
      <c r="BV59" s="20">
        <v>67</v>
      </c>
      <c r="BW59" s="20">
        <v>63</v>
      </c>
      <c r="BX59" s="20">
        <v>113</v>
      </c>
      <c r="BY59" s="20">
        <v>149</v>
      </c>
      <c r="BZ59" s="33">
        <f t="shared" si="27"/>
        <v>0.43129770992366412</v>
      </c>
      <c r="CA59" s="23">
        <v>-3.16</v>
      </c>
      <c r="CB59" s="39">
        <f t="shared" si="28"/>
        <v>-4.2230114036901387</v>
      </c>
      <c r="CC59" s="38">
        <f t="shared" si="29"/>
        <v>2.4466265139212515</v>
      </c>
      <c r="CD59" s="38">
        <f t="shared" si="30"/>
        <v>2.0247943563486221</v>
      </c>
      <c r="CE59" s="32">
        <f t="shared" si="31"/>
        <v>27.081624516162822</v>
      </c>
      <c r="CF59" s="32">
        <f t="shared" si="32"/>
        <v>31.890511112490795</v>
      </c>
      <c r="CG59" s="32">
        <f t="shared" si="33"/>
        <v>51.758805734161655</v>
      </c>
      <c r="CH59" s="32">
        <f t="shared" si="34"/>
        <v>56.398959467460578</v>
      </c>
      <c r="CI59" s="32">
        <f t="shared" si="35"/>
        <v>-6.2923639995051417</v>
      </c>
      <c r="CJ59">
        <v>1422.366667</v>
      </c>
      <c r="CK59">
        <v>58</v>
      </c>
      <c r="CL59">
        <v>48</v>
      </c>
      <c r="CM59" s="35">
        <v>584</v>
      </c>
      <c r="CN59">
        <v>708</v>
      </c>
      <c r="CO59">
        <v>272</v>
      </c>
      <c r="CP59">
        <v>255</v>
      </c>
      <c r="CQ59">
        <v>313</v>
      </c>
      <c r="CR59">
        <v>326</v>
      </c>
      <c r="CS59" s="20">
        <v>3</v>
      </c>
      <c r="CT59" s="20">
        <v>1</v>
      </c>
      <c r="CU59" s="35">
        <f t="shared" si="36"/>
        <v>-2</v>
      </c>
      <c r="CV59" s="38">
        <f t="shared" si="37"/>
        <v>0.56314527062258835</v>
      </c>
      <c r="CW59" s="38">
        <f t="shared" si="38"/>
        <v>0.18771509020752947</v>
      </c>
      <c r="CX59" s="38">
        <f t="shared" si="39"/>
        <v>-0.37543018041505893</v>
      </c>
      <c r="CY59" s="40">
        <v>10.029999999999999</v>
      </c>
      <c r="CZ59" s="40">
        <v>11.63</v>
      </c>
      <c r="DA59" s="40">
        <v>9.2799999999999994</v>
      </c>
      <c r="DB59" s="40">
        <v>10.5</v>
      </c>
      <c r="DC59" s="40">
        <v>9.51</v>
      </c>
      <c r="DD59" s="40">
        <v>12.29</v>
      </c>
      <c r="DE59">
        <v>2</v>
      </c>
      <c r="DF59">
        <v>2</v>
      </c>
      <c r="DG59" s="33">
        <f t="shared" si="40"/>
        <v>0.5</v>
      </c>
      <c r="DH59">
        <v>0</v>
      </c>
      <c r="DI59">
        <v>1</v>
      </c>
      <c r="DJ59">
        <v>1</v>
      </c>
      <c r="DK59">
        <v>2</v>
      </c>
      <c r="DL59">
        <v>1</v>
      </c>
      <c r="DM59" s="1" t="s">
        <v>379</v>
      </c>
      <c r="DN59" t="s">
        <v>380</v>
      </c>
    </row>
    <row r="60" spans="1:118" x14ac:dyDescent="0.25">
      <c r="A60" t="s">
        <v>381</v>
      </c>
      <c r="B60" t="s">
        <v>382</v>
      </c>
      <c r="C60" s="1" t="s">
        <v>210</v>
      </c>
      <c r="D60" s="2" t="s">
        <v>3</v>
      </c>
      <c r="E60">
        <v>32</v>
      </c>
      <c r="F60">
        <f>(9/32)</f>
        <v>0.28125</v>
      </c>
      <c r="G60" t="s">
        <v>544</v>
      </c>
      <c r="H60">
        <f>(33/51)</f>
        <v>0.6470588235294118</v>
      </c>
      <c r="I60">
        <v>2</v>
      </c>
      <c r="J60">
        <v>7</v>
      </c>
      <c r="K60" s="29">
        <f t="shared" si="0"/>
        <v>9</v>
      </c>
      <c r="L60" s="30">
        <f t="shared" si="1"/>
        <v>1.7815902342461234</v>
      </c>
      <c r="M60" s="20">
        <v>2</v>
      </c>
      <c r="N60" s="20">
        <v>6</v>
      </c>
      <c r="O60" s="20">
        <v>1</v>
      </c>
      <c r="P60" s="20">
        <v>30</v>
      </c>
      <c r="Q60" s="20">
        <v>11</v>
      </c>
      <c r="R60" s="20">
        <v>12</v>
      </c>
      <c r="S60" s="20">
        <v>35</v>
      </c>
      <c r="T60" s="31">
        <f t="shared" si="2"/>
        <v>6.6666666666666666E-2</v>
      </c>
      <c r="U60" s="31">
        <f t="shared" si="3"/>
        <v>3.7735849056603772E-2</v>
      </c>
      <c r="V60">
        <v>18186</v>
      </c>
      <c r="W60" s="32">
        <f t="shared" si="4"/>
        <v>9.4718750000000007</v>
      </c>
      <c r="X60" s="23">
        <v>301.52</v>
      </c>
      <c r="Y60" s="32">
        <f t="shared" si="5"/>
        <v>9.4224999999999994</v>
      </c>
      <c r="Z60" s="23">
        <v>1238.1099999999999</v>
      </c>
      <c r="AA60" s="32">
        <f t="shared" si="6"/>
        <v>38.690937499999997</v>
      </c>
      <c r="AB60" s="33">
        <f t="shared" si="7"/>
        <v>0.19583926008196775</v>
      </c>
      <c r="AC60" s="34">
        <f t="shared" si="8"/>
        <v>52.61538461538462</v>
      </c>
      <c r="AD60" s="20">
        <v>9</v>
      </c>
      <c r="AE60" s="20">
        <v>39</v>
      </c>
      <c r="AF60" s="20">
        <v>24</v>
      </c>
      <c r="AG60" s="20">
        <v>9</v>
      </c>
      <c r="AH60" s="20">
        <v>9</v>
      </c>
      <c r="AI60" s="31">
        <f t="shared" si="9"/>
        <v>0.15384615384615385</v>
      </c>
      <c r="AJ60" s="31">
        <f t="shared" si="10"/>
        <v>0.53846153846153844</v>
      </c>
      <c r="AK60" s="31">
        <f t="shared" si="11"/>
        <v>0.69230769230769229</v>
      </c>
      <c r="AL60" s="20">
        <v>76</v>
      </c>
      <c r="AM60" s="33">
        <f t="shared" si="12"/>
        <v>0.2857142857142857</v>
      </c>
      <c r="AN60" s="20">
        <v>95</v>
      </c>
      <c r="AO60" s="33">
        <f t="shared" si="13"/>
        <v>0.35714285714285715</v>
      </c>
      <c r="AP60" s="20">
        <v>95</v>
      </c>
      <c r="AQ60" s="33">
        <f t="shared" si="14"/>
        <v>0.35714285714285715</v>
      </c>
      <c r="AR60" s="33">
        <f t="shared" si="15"/>
        <v>0.44444444444444442</v>
      </c>
      <c r="AS60" s="1">
        <v>5</v>
      </c>
      <c r="AT60" s="23">
        <v>-1.36</v>
      </c>
      <c r="AU60" s="20">
        <v>16.68</v>
      </c>
      <c r="AV60" s="35">
        <v>12</v>
      </c>
      <c r="AW60" s="36">
        <v>-0.81100000000000005</v>
      </c>
      <c r="AX60" s="1">
        <v>13</v>
      </c>
      <c r="AY60" s="36">
        <v>-1.786</v>
      </c>
      <c r="AZ60" s="20">
        <v>49.37</v>
      </c>
      <c r="BA60" s="20">
        <v>16.62</v>
      </c>
      <c r="BB60" s="36">
        <v>-3.0070000000000001</v>
      </c>
      <c r="BC60" s="36">
        <v>-7.5019999999999998</v>
      </c>
      <c r="BD60" s="20">
        <v>47.49</v>
      </c>
      <c r="BE60" s="33">
        <f t="shared" si="16"/>
        <v>0.11403508771929824</v>
      </c>
      <c r="BF60" s="37">
        <f t="shared" si="17"/>
        <v>0.95205479452054798</v>
      </c>
      <c r="BG60" s="35">
        <f t="shared" si="18"/>
        <v>1066.0898822398462</v>
      </c>
      <c r="BH60" s="33">
        <f t="shared" si="19"/>
        <v>6.6089882239846215E-2</v>
      </c>
      <c r="BI60" s="38">
        <f t="shared" si="20"/>
        <v>2.58689307508623</v>
      </c>
      <c r="BJ60" s="38">
        <f t="shared" si="21"/>
        <v>1.3929424250464315</v>
      </c>
      <c r="BK60" s="32">
        <f t="shared" si="22"/>
        <v>22.685062350756169</v>
      </c>
      <c r="BL60" s="32">
        <f t="shared" si="23"/>
        <v>29.052799150968429</v>
      </c>
      <c r="BM60" s="32">
        <f t="shared" si="24"/>
        <v>45.967100026532236</v>
      </c>
      <c r="BN60" s="32">
        <f t="shared" si="25"/>
        <v>55.916688776863893</v>
      </c>
      <c r="BO60" s="32">
        <f t="shared" si="26"/>
        <v>-9.9495887503316567</v>
      </c>
      <c r="BP60" s="20">
        <v>13</v>
      </c>
      <c r="BQ60" s="20">
        <v>7</v>
      </c>
      <c r="BR60" s="35">
        <v>101</v>
      </c>
      <c r="BS60" s="35">
        <v>139</v>
      </c>
      <c r="BT60" s="20">
        <v>47</v>
      </c>
      <c r="BU60" s="20">
        <v>60</v>
      </c>
      <c r="BV60" s="20">
        <v>70</v>
      </c>
      <c r="BW60" s="20">
        <v>75</v>
      </c>
      <c r="BX60" s="20">
        <v>110</v>
      </c>
      <c r="BY60" s="20">
        <v>112</v>
      </c>
      <c r="BZ60" s="33">
        <f t="shared" si="27"/>
        <v>0.49549549549549549</v>
      </c>
      <c r="CA60" s="23">
        <v>-0.63</v>
      </c>
      <c r="CB60" s="39">
        <f t="shared" si="28"/>
        <v>-2.9902554169983251</v>
      </c>
      <c r="CC60" s="38">
        <f t="shared" si="29"/>
        <v>2.3066397341499965</v>
      </c>
      <c r="CD60" s="38">
        <f t="shared" si="30"/>
        <v>1.9156838470059294</v>
      </c>
      <c r="CE60" s="32">
        <f t="shared" si="31"/>
        <v>27.914250342086401</v>
      </c>
      <c r="CF60" s="32">
        <f t="shared" si="32"/>
        <v>30.181794487521991</v>
      </c>
      <c r="CG60" s="32">
        <f t="shared" si="33"/>
        <v>51.567081514302473</v>
      </c>
      <c r="CH60" s="32">
        <f t="shared" si="34"/>
        <v>58.565191894181268</v>
      </c>
      <c r="CI60" s="32">
        <f t="shared" si="35"/>
        <v>-2.9514783704528611</v>
      </c>
      <c r="CJ60">
        <v>1534.7</v>
      </c>
      <c r="CK60">
        <v>59</v>
      </c>
      <c r="CL60">
        <v>49</v>
      </c>
      <c r="CM60" s="35">
        <v>655</v>
      </c>
      <c r="CN60">
        <v>723</v>
      </c>
      <c r="CO60">
        <v>270</v>
      </c>
      <c r="CP60">
        <v>296</v>
      </c>
      <c r="CQ60">
        <v>335</v>
      </c>
      <c r="CR60">
        <v>430</v>
      </c>
      <c r="CS60" s="20">
        <v>3</v>
      </c>
      <c r="CT60" s="20">
        <v>2</v>
      </c>
      <c r="CU60" s="35">
        <f t="shared" si="36"/>
        <v>-1</v>
      </c>
      <c r="CV60" s="38">
        <f t="shared" si="37"/>
        <v>0.59386341141537435</v>
      </c>
      <c r="CW60" s="38">
        <f t="shared" si="38"/>
        <v>0.39590894094358298</v>
      </c>
      <c r="CX60" s="38">
        <f t="shared" si="39"/>
        <v>-0.19795447047179149</v>
      </c>
      <c r="CY60" s="40">
        <v>9.77</v>
      </c>
      <c r="CZ60" s="40">
        <v>11.31</v>
      </c>
      <c r="DA60" s="40">
        <v>7.41</v>
      </c>
      <c r="DB60" s="40">
        <v>13.78</v>
      </c>
      <c r="DC60" s="40">
        <v>10.75</v>
      </c>
      <c r="DD60" s="40">
        <v>11.76</v>
      </c>
      <c r="DE60">
        <v>1</v>
      </c>
      <c r="DF60">
        <v>2</v>
      </c>
      <c r="DG60" s="33">
        <f t="shared" si="40"/>
        <v>0.33333333333333331</v>
      </c>
      <c r="DH60">
        <v>0</v>
      </c>
      <c r="DI60">
        <v>-2</v>
      </c>
      <c r="DJ60">
        <v>1</v>
      </c>
      <c r="DK60">
        <v>1</v>
      </c>
      <c r="DL60">
        <v>1</v>
      </c>
      <c r="DM60" s="1" t="s">
        <v>383</v>
      </c>
      <c r="DN60" t="s">
        <v>384</v>
      </c>
    </row>
    <row r="61" spans="1:118" x14ac:dyDescent="0.25">
      <c r="A61" t="s">
        <v>356</v>
      </c>
      <c r="B61" t="s">
        <v>385</v>
      </c>
      <c r="C61" s="1" t="s">
        <v>168</v>
      </c>
      <c r="D61" s="2" t="s">
        <v>142</v>
      </c>
      <c r="E61">
        <v>67</v>
      </c>
      <c r="F61">
        <f>(9/67)</f>
        <v>0.13432835820895522</v>
      </c>
      <c r="G61" t="s">
        <v>544</v>
      </c>
      <c r="H61">
        <f>(12/30)</f>
        <v>0.4</v>
      </c>
      <c r="I61">
        <v>1</v>
      </c>
      <c r="J61">
        <v>8</v>
      </c>
      <c r="K61" s="29">
        <f t="shared" si="0"/>
        <v>9</v>
      </c>
      <c r="L61" s="30">
        <f t="shared" si="1"/>
        <v>0.58375222960921036</v>
      </c>
      <c r="M61" s="20">
        <v>1</v>
      </c>
      <c r="N61" s="20">
        <v>4</v>
      </c>
      <c r="O61" s="20">
        <v>4</v>
      </c>
      <c r="P61" s="20">
        <v>89</v>
      </c>
      <c r="Q61" s="20">
        <v>43</v>
      </c>
      <c r="R61" s="20">
        <v>53</v>
      </c>
      <c r="S61" s="20">
        <v>43</v>
      </c>
      <c r="T61" s="31">
        <f t="shared" si="2"/>
        <v>1.1235955056179775E-2</v>
      </c>
      <c r="U61" s="31">
        <f t="shared" si="3"/>
        <v>5.4054054054054057E-3</v>
      </c>
      <c r="V61">
        <v>55503</v>
      </c>
      <c r="W61" s="32">
        <f t="shared" si="4"/>
        <v>13.806716417910447</v>
      </c>
      <c r="X61" s="23">
        <v>931.27</v>
      </c>
      <c r="Y61" s="32">
        <f t="shared" si="5"/>
        <v>13.89955223880597</v>
      </c>
      <c r="Z61" s="23">
        <v>2231.21</v>
      </c>
      <c r="AA61" s="32">
        <f t="shared" si="6"/>
        <v>33.30164179104478</v>
      </c>
      <c r="AB61" s="33">
        <f t="shared" si="7"/>
        <v>0.29447458956262168</v>
      </c>
      <c r="AC61" s="34">
        <f t="shared" si="8"/>
        <v>70.615384615384613</v>
      </c>
      <c r="AD61" s="20">
        <v>51</v>
      </c>
      <c r="AE61" s="20">
        <v>156</v>
      </c>
      <c r="AF61" s="20">
        <v>79</v>
      </c>
      <c r="AG61" s="20">
        <v>16</v>
      </c>
      <c r="AH61" s="20">
        <v>7</v>
      </c>
      <c r="AI61" s="31">
        <f t="shared" si="9"/>
        <v>3.8461538461538464E-2</v>
      </c>
      <c r="AJ61" s="31">
        <f t="shared" si="10"/>
        <v>0.30769230769230771</v>
      </c>
      <c r="AK61" s="31">
        <f t="shared" si="11"/>
        <v>0.34615384615384615</v>
      </c>
      <c r="AL61" s="20">
        <v>287</v>
      </c>
      <c r="AM61" s="33">
        <f t="shared" si="12"/>
        <v>0.32650739476678042</v>
      </c>
      <c r="AN61" s="20">
        <v>294</v>
      </c>
      <c r="AO61" s="33">
        <f t="shared" si="13"/>
        <v>0.33447098976109213</v>
      </c>
      <c r="AP61" s="20">
        <v>298</v>
      </c>
      <c r="AQ61" s="33">
        <f t="shared" si="14"/>
        <v>0.33902161547212739</v>
      </c>
      <c r="AR61" s="33">
        <f t="shared" si="15"/>
        <v>0.49397590361445781</v>
      </c>
      <c r="AS61" s="1">
        <v>5</v>
      </c>
      <c r="AT61" s="23">
        <v>1.52</v>
      </c>
      <c r="AU61" s="20">
        <v>17.05</v>
      </c>
      <c r="AV61" s="35">
        <v>7</v>
      </c>
      <c r="AW61" s="36">
        <v>-0.16300000000000001</v>
      </c>
      <c r="AX61" s="1">
        <v>6</v>
      </c>
      <c r="AY61" s="36">
        <v>-0.373</v>
      </c>
      <c r="AZ61" s="20">
        <v>49.79</v>
      </c>
      <c r="BA61" s="20">
        <v>16.25</v>
      </c>
      <c r="BB61" s="36">
        <v>0.92300000000000004</v>
      </c>
      <c r="BC61" s="36">
        <v>3.8620000000000001</v>
      </c>
      <c r="BD61" s="20">
        <v>51.77</v>
      </c>
      <c r="BE61" s="33">
        <f t="shared" si="16"/>
        <v>5.6644880174291937E-2</v>
      </c>
      <c r="BF61" s="37">
        <f t="shared" si="17"/>
        <v>0.93071593533487296</v>
      </c>
      <c r="BG61" s="35">
        <f t="shared" si="18"/>
        <v>987.36081550916492</v>
      </c>
      <c r="BH61" s="33">
        <f t="shared" si="19"/>
        <v>-1.2639184490835106E-2</v>
      </c>
      <c r="BI61" s="38">
        <f t="shared" si="20"/>
        <v>1.6751318092497343</v>
      </c>
      <c r="BJ61" s="38">
        <f t="shared" si="21"/>
        <v>1.9328443952881551</v>
      </c>
      <c r="BK61" s="32">
        <f t="shared" si="22"/>
        <v>29.572519247908772</v>
      </c>
      <c r="BL61" s="32">
        <f t="shared" si="23"/>
        <v>27.897387438659038</v>
      </c>
      <c r="BM61" s="32">
        <f t="shared" si="24"/>
        <v>56.890053367981359</v>
      </c>
      <c r="BN61" s="32">
        <f t="shared" si="25"/>
        <v>49.480816519376766</v>
      </c>
      <c r="BO61" s="32">
        <f t="shared" si="26"/>
        <v>7.4092368486045928</v>
      </c>
      <c r="BP61" s="20">
        <v>26</v>
      </c>
      <c r="BQ61" s="20">
        <v>30</v>
      </c>
      <c r="BR61" s="35">
        <v>433</v>
      </c>
      <c r="BS61" s="35">
        <v>403</v>
      </c>
      <c r="BT61" s="20">
        <v>200</v>
      </c>
      <c r="BU61" s="20">
        <v>149</v>
      </c>
      <c r="BV61" s="20">
        <v>224</v>
      </c>
      <c r="BW61" s="20">
        <v>186</v>
      </c>
      <c r="BX61" s="20">
        <v>417</v>
      </c>
      <c r="BY61" s="20">
        <v>395</v>
      </c>
      <c r="BZ61" s="33">
        <f t="shared" si="27"/>
        <v>0.51354679802955661</v>
      </c>
      <c r="CA61" s="23">
        <v>-1.47</v>
      </c>
      <c r="CB61" s="39">
        <f t="shared" si="28"/>
        <v>3.2288151618576046</v>
      </c>
      <c r="CC61" s="38">
        <f t="shared" si="29"/>
        <v>2.2629190808594317</v>
      </c>
      <c r="CD61" s="38">
        <f t="shared" si="30"/>
        <v>1.9206287997210303</v>
      </c>
      <c r="CE61" s="32">
        <f t="shared" si="31"/>
        <v>30.76809304899631</v>
      </c>
      <c r="CF61" s="32">
        <f t="shared" si="32"/>
        <v>28.162883686998473</v>
      </c>
      <c r="CG61" s="32">
        <f t="shared" si="33"/>
        <v>55.869380332479082</v>
      </c>
      <c r="CH61" s="32">
        <f t="shared" si="34"/>
        <v>51.66681632516871</v>
      </c>
      <c r="CI61" s="32">
        <f t="shared" si="35"/>
        <v>3.2066728412942211</v>
      </c>
      <c r="CJ61">
        <v>3155.2166670000001</v>
      </c>
      <c r="CK61">
        <v>119</v>
      </c>
      <c r="CL61">
        <v>101</v>
      </c>
      <c r="CM61" s="35">
        <v>1499</v>
      </c>
      <c r="CN61">
        <v>1380</v>
      </c>
      <c r="CO61">
        <v>605</v>
      </c>
      <c r="CP61">
        <v>531</v>
      </c>
      <c r="CQ61">
        <v>715</v>
      </c>
      <c r="CR61">
        <v>705</v>
      </c>
      <c r="CS61" s="20">
        <v>17</v>
      </c>
      <c r="CT61" s="20">
        <v>8</v>
      </c>
      <c r="CU61" s="35">
        <f t="shared" si="36"/>
        <v>-9</v>
      </c>
      <c r="CV61" s="38">
        <f t="shared" si="37"/>
        <v>1.1026431003729529</v>
      </c>
      <c r="CW61" s="38">
        <f t="shared" si="38"/>
        <v>0.51889087076374252</v>
      </c>
      <c r="CX61" s="38">
        <f t="shared" si="39"/>
        <v>-0.58375222960921036</v>
      </c>
      <c r="CY61" s="40">
        <v>35.049999999999997</v>
      </c>
      <c r="CZ61" s="40">
        <v>36.880000000000003</v>
      </c>
      <c r="DA61" s="40">
        <v>41.64</v>
      </c>
      <c r="DB61" s="40">
        <v>29.41</v>
      </c>
      <c r="DC61" s="40">
        <v>38.64</v>
      </c>
      <c r="DD61" s="40">
        <v>32.409999999999997</v>
      </c>
      <c r="DE61">
        <v>0</v>
      </c>
      <c r="DF61">
        <v>0</v>
      </c>
      <c r="DG61" s="33" t="str">
        <f t="shared" si="40"/>
        <v xml:space="preserve"> </v>
      </c>
      <c r="DH61">
        <v>0</v>
      </c>
      <c r="DI61">
        <v>0</v>
      </c>
      <c r="DJ61">
        <v>0</v>
      </c>
      <c r="DK61">
        <v>0</v>
      </c>
      <c r="DL61">
        <v>0</v>
      </c>
      <c r="DM61" s="1" t="s">
        <v>386</v>
      </c>
      <c r="DN61" t="s">
        <v>387</v>
      </c>
    </row>
    <row r="62" spans="1:118" x14ac:dyDescent="0.25">
      <c r="A62" t="s">
        <v>388</v>
      </c>
      <c r="B62" t="s">
        <v>389</v>
      </c>
      <c r="C62" s="1" t="s">
        <v>210</v>
      </c>
      <c r="D62" s="2" t="s">
        <v>321</v>
      </c>
      <c r="E62">
        <v>12</v>
      </c>
      <c r="F62">
        <f>(8/12)</f>
        <v>0.66666666666666663</v>
      </c>
      <c r="G62" t="s">
        <v>541</v>
      </c>
      <c r="H62">
        <f>(118/59)</f>
        <v>2</v>
      </c>
      <c r="I62">
        <v>4</v>
      </c>
      <c r="J62">
        <v>4</v>
      </c>
      <c r="K62" s="29">
        <f t="shared" si="0"/>
        <v>8</v>
      </c>
      <c r="L62" s="30">
        <f t="shared" si="1"/>
        <v>2.897675822517356</v>
      </c>
      <c r="M62" s="20">
        <v>4</v>
      </c>
      <c r="N62" s="20">
        <v>2</v>
      </c>
      <c r="O62" s="20">
        <v>2</v>
      </c>
      <c r="P62" s="20">
        <v>21</v>
      </c>
      <c r="Q62" s="20">
        <v>5</v>
      </c>
      <c r="R62" s="20">
        <v>12</v>
      </c>
      <c r="S62" s="20">
        <v>24</v>
      </c>
      <c r="T62" s="31">
        <f t="shared" si="2"/>
        <v>0.19047619047619047</v>
      </c>
      <c r="U62" s="31">
        <f t="shared" si="3"/>
        <v>0.10526315789473684</v>
      </c>
      <c r="V62">
        <v>9939</v>
      </c>
      <c r="W62" s="32">
        <f t="shared" si="4"/>
        <v>13.804166666666667</v>
      </c>
      <c r="X62" s="23">
        <v>162.07</v>
      </c>
      <c r="Y62" s="32">
        <f t="shared" si="5"/>
        <v>13.505833333333333</v>
      </c>
      <c r="Z62" s="23">
        <v>424.18</v>
      </c>
      <c r="AA62" s="32">
        <f t="shared" si="6"/>
        <v>35.348333333333336</v>
      </c>
      <c r="AB62" s="33">
        <f t="shared" si="7"/>
        <v>0.2764520255863539</v>
      </c>
      <c r="AC62" s="34">
        <f t="shared" si="8"/>
        <v>18.222222222222221</v>
      </c>
      <c r="AD62" s="20">
        <v>5</v>
      </c>
      <c r="AE62" s="20">
        <v>8</v>
      </c>
      <c r="AF62" s="20">
        <v>8</v>
      </c>
      <c r="AG62" s="20">
        <v>5</v>
      </c>
      <c r="AH62" s="20">
        <v>6</v>
      </c>
      <c r="AI62" s="31">
        <f t="shared" si="9"/>
        <v>0.44444444444444442</v>
      </c>
      <c r="AJ62" s="31">
        <f t="shared" si="10"/>
        <v>0.44444444444444442</v>
      </c>
      <c r="AK62" s="31">
        <f t="shared" si="11"/>
        <v>0.88888888888888884</v>
      </c>
      <c r="AL62" s="20">
        <v>54</v>
      </c>
      <c r="AM62" s="33">
        <f t="shared" si="12"/>
        <v>0.33750000000000002</v>
      </c>
      <c r="AN62" s="20">
        <v>58</v>
      </c>
      <c r="AO62" s="33">
        <f t="shared" si="13"/>
        <v>0.36249999999999999</v>
      </c>
      <c r="AP62" s="20">
        <v>48</v>
      </c>
      <c r="AQ62" s="33">
        <f t="shared" si="14"/>
        <v>0.3</v>
      </c>
      <c r="AR62" s="33">
        <f t="shared" si="15"/>
        <v>0.48214285714285715</v>
      </c>
      <c r="AS62" s="1">
        <v>10</v>
      </c>
      <c r="AT62" s="23">
        <v>-6.04</v>
      </c>
      <c r="AU62" s="20">
        <v>17.04</v>
      </c>
      <c r="AV62" s="35">
        <v>10</v>
      </c>
      <c r="AW62" s="36">
        <v>-0.25900000000000001</v>
      </c>
      <c r="AX62" s="1">
        <v>10</v>
      </c>
      <c r="AY62" s="36">
        <v>-1.0369999999999999</v>
      </c>
      <c r="AZ62" s="20">
        <v>49.25</v>
      </c>
      <c r="BA62" s="20">
        <v>18.149999999999999</v>
      </c>
      <c r="BB62" s="36">
        <v>1.9830000000000001</v>
      </c>
      <c r="BC62" s="36">
        <v>-2.996</v>
      </c>
      <c r="BD62" s="20">
        <v>49.26</v>
      </c>
      <c r="BE62" s="33">
        <f t="shared" si="16"/>
        <v>0.10975609756097561</v>
      </c>
      <c r="BF62" s="37">
        <f t="shared" si="17"/>
        <v>0.94736842105263153</v>
      </c>
      <c r="BG62" s="35">
        <f t="shared" si="18"/>
        <v>1057.1245186136071</v>
      </c>
      <c r="BH62" s="33">
        <f t="shared" si="19"/>
        <v>5.7124518613607136E-2</v>
      </c>
      <c r="BI62" s="38">
        <f t="shared" si="20"/>
        <v>3.3318936262108969</v>
      </c>
      <c r="BJ62" s="38">
        <f t="shared" si="21"/>
        <v>1.4808416116492873</v>
      </c>
      <c r="BK62" s="32">
        <f t="shared" si="22"/>
        <v>30.357253038810391</v>
      </c>
      <c r="BL62" s="32">
        <f t="shared" si="23"/>
        <v>28.135990621336461</v>
      </c>
      <c r="BM62" s="32">
        <f t="shared" si="24"/>
        <v>56.271981242672922</v>
      </c>
      <c r="BN62" s="32">
        <f t="shared" si="25"/>
        <v>57.012402048497563</v>
      </c>
      <c r="BO62" s="32">
        <f t="shared" si="26"/>
        <v>-0.74042080582464109</v>
      </c>
      <c r="BP62" s="20">
        <v>9</v>
      </c>
      <c r="BQ62" s="20">
        <v>4</v>
      </c>
      <c r="BR62" s="35">
        <v>73</v>
      </c>
      <c r="BS62" s="35">
        <v>72</v>
      </c>
      <c r="BT62" s="20">
        <v>27</v>
      </c>
      <c r="BU62" s="20">
        <v>39</v>
      </c>
      <c r="BV62" s="20">
        <v>43</v>
      </c>
      <c r="BW62" s="20">
        <v>39</v>
      </c>
      <c r="BX62" s="20">
        <v>79</v>
      </c>
      <c r="BY62" s="20">
        <v>67</v>
      </c>
      <c r="BZ62" s="33">
        <f t="shared" si="27"/>
        <v>0.54109589041095896</v>
      </c>
      <c r="CA62" s="23">
        <v>4.1100000000000003</v>
      </c>
      <c r="CB62" s="39">
        <f t="shared" si="28"/>
        <v>1.5571506227467875</v>
      </c>
      <c r="CC62" s="38">
        <f t="shared" si="29"/>
        <v>2.5587808816087447</v>
      </c>
      <c r="CD62" s="38">
        <f t="shared" si="30"/>
        <v>2.3540784110800455</v>
      </c>
      <c r="CE62" s="32">
        <f t="shared" si="31"/>
        <v>30.910073049833635</v>
      </c>
      <c r="CF62" s="32">
        <f t="shared" si="32"/>
        <v>30.398316873511884</v>
      </c>
      <c r="CG62" s="32">
        <f t="shared" si="33"/>
        <v>57.726096689093282</v>
      </c>
      <c r="CH62" s="32">
        <f t="shared" si="34"/>
        <v>58.033150394886327</v>
      </c>
      <c r="CI62" s="32">
        <f t="shared" si="35"/>
        <v>-0.43336710003159595</v>
      </c>
      <c r="CJ62">
        <v>586.21666700000003</v>
      </c>
      <c r="CK62">
        <v>25</v>
      </c>
      <c r="CL62">
        <v>23</v>
      </c>
      <c r="CM62" s="35">
        <v>277</v>
      </c>
      <c r="CN62">
        <v>274</v>
      </c>
      <c r="CO62">
        <v>110</v>
      </c>
      <c r="CP62">
        <v>117</v>
      </c>
      <c r="CQ62">
        <v>152</v>
      </c>
      <c r="CR62">
        <v>153</v>
      </c>
      <c r="CS62" s="20">
        <v>0</v>
      </c>
      <c r="CT62" s="20">
        <v>5</v>
      </c>
      <c r="CU62" s="35">
        <f t="shared" si="36"/>
        <v>5</v>
      </c>
      <c r="CV62" s="38">
        <f t="shared" si="37"/>
        <v>0</v>
      </c>
      <c r="CW62" s="38">
        <f t="shared" si="38"/>
        <v>1.8110473890733474</v>
      </c>
      <c r="CX62" s="38">
        <f t="shared" si="39"/>
        <v>1.8110473890733474</v>
      </c>
      <c r="CY62" s="40">
        <v>7.63</v>
      </c>
      <c r="CZ62" s="40">
        <v>5.84</v>
      </c>
      <c r="DA62" s="40">
        <v>3.03</v>
      </c>
      <c r="DB62" s="40">
        <v>6.63</v>
      </c>
      <c r="DC62" s="40">
        <v>5.97</v>
      </c>
      <c r="DD62" s="40">
        <v>5.54</v>
      </c>
      <c r="DE62">
        <v>0</v>
      </c>
      <c r="DF62">
        <v>0</v>
      </c>
      <c r="DG62" s="33" t="str">
        <f t="shared" si="40"/>
        <v xml:space="preserve"> </v>
      </c>
      <c r="DH62">
        <v>0</v>
      </c>
      <c r="DI62">
        <v>0</v>
      </c>
      <c r="DJ62">
        <v>0</v>
      </c>
      <c r="DK62">
        <v>0</v>
      </c>
      <c r="DL62">
        <v>0</v>
      </c>
      <c r="DM62" s="1" t="s">
        <v>390</v>
      </c>
      <c r="DN62" t="s">
        <v>391</v>
      </c>
    </row>
    <row r="63" spans="1:118" x14ac:dyDescent="0.25">
      <c r="A63" t="s">
        <v>392</v>
      </c>
      <c r="B63" t="s">
        <v>393</v>
      </c>
      <c r="C63" s="1" t="s">
        <v>394</v>
      </c>
      <c r="D63" s="2" t="s">
        <v>142</v>
      </c>
      <c r="E63">
        <v>19</v>
      </c>
      <c r="F63">
        <f>(8/19)</f>
        <v>0.42105263157894735</v>
      </c>
      <c r="G63" t="s">
        <v>541</v>
      </c>
      <c r="H63">
        <f>(48/43)</f>
        <v>1.1162790697674418</v>
      </c>
      <c r="I63">
        <v>1</v>
      </c>
      <c r="J63">
        <v>4</v>
      </c>
      <c r="K63" s="29">
        <f t="shared" si="0"/>
        <v>5</v>
      </c>
      <c r="L63" s="30">
        <f t="shared" si="1"/>
        <v>1.0428736964078795</v>
      </c>
      <c r="M63" s="20">
        <v>1</v>
      </c>
      <c r="N63" s="20">
        <v>3</v>
      </c>
      <c r="O63" s="20">
        <v>1</v>
      </c>
      <c r="P63" s="20">
        <v>11</v>
      </c>
      <c r="Q63" s="20">
        <v>9</v>
      </c>
      <c r="R63" s="20">
        <v>12</v>
      </c>
      <c r="S63" s="20">
        <v>9</v>
      </c>
      <c r="T63" s="31">
        <f t="shared" si="2"/>
        <v>9.0909090909090912E-2</v>
      </c>
      <c r="U63" s="31">
        <f t="shared" si="3"/>
        <v>3.125E-2</v>
      </c>
      <c r="V63">
        <v>17260</v>
      </c>
      <c r="W63" s="32">
        <f t="shared" si="4"/>
        <v>15.140350877192983</v>
      </c>
      <c r="X63" s="23">
        <v>274.41000000000003</v>
      </c>
      <c r="Y63" s="32">
        <f t="shared" si="5"/>
        <v>14.44263157894737</v>
      </c>
      <c r="Z63" s="23">
        <v>618.66</v>
      </c>
      <c r="AA63" s="32">
        <f t="shared" si="6"/>
        <v>32.561052631578946</v>
      </c>
      <c r="AB63" s="33">
        <f t="shared" si="7"/>
        <v>0.307265947798045</v>
      </c>
      <c r="AC63" s="34">
        <f t="shared" si="8"/>
        <v>32.75</v>
      </c>
      <c r="AD63" s="20">
        <v>18</v>
      </c>
      <c r="AE63" s="20">
        <v>5</v>
      </c>
      <c r="AF63" s="20">
        <v>16</v>
      </c>
      <c r="AG63" s="20">
        <v>14</v>
      </c>
      <c r="AH63" s="20">
        <v>7</v>
      </c>
      <c r="AI63" s="31">
        <f t="shared" si="9"/>
        <v>8.3333333333333329E-2</v>
      </c>
      <c r="AJ63" s="31">
        <f t="shared" si="10"/>
        <v>0.33333333333333331</v>
      </c>
      <c r="AK63" s="31">
        <f t="shared" si="11"/>
        <v>0.41666666666666663</v>
      </c>
      <c r="AL63" s="20">
        <v>96</v>
      </c>
      <c r="AM63" s="33">
        <f t="shared" si="12"/>
        <v>0.37795275590551181</v>
      </c>
      <c r="AN63" s="20">
        <v>88</v>
      </c>
      <c r="AO63" s="33">
        <f t="shared" si="13"/>
        <v>0.34645669291338582</v>
      </c>
      <c r="AP63" s="20">
        <v>70</v>
      </c>
      <c r="AQ63" s="33">
        <f t="shared" si="14"/>
        <v>0.27559055118110237</v>
      </c>
      <c r="AR63" s="33">
        <f t="shared" si="15"/>
        <v>0.52173913043478259</v>
      </c>
      <c r="AS63" s="1">
        <v>9</v>
      </c>
      <c r="AT63" s="23">
        <v>1.4</v>
      </c>
      <c r="AU63" s="20">
        <v>17.07</v>
      </c>
      <c r="AV63" s="35">
        <v>7</v>
      </c>
      <c r="AW63" s="36">
        <v>0.17200000000000001</v>
      </c>
      <c r="AX63" s="1">
        <v>7</v>
      </c>
      <c r="AY63" s="36">
        <v>-0.72499999999999998</v>
      </c>
      <c r="AZ63" s="20">
        <v>49.75</v>
      </c>
      <c r="BA63" s="20">
        <v>16.22</v>
      </c>
      <c r="BB63" s="36">
        <v>0.26100000000000001</v>
      </c>
      <c r="BC63" s="36">
        <v>5.1859999999999999</v>
      </c>
      <c r="BD63" s="20">
        <v>52.6</v>
      </c>
      <c r="BE63" s="33">
        <f t="shared" si="16"/>
        <v>9.1603053435114504E-2</v>
      </c>
      <c r="BF63" s="37">
        <f t="shared" si="17"/>
        <v>0.967741935483871</v>
      </c>
      <c r="BG63" s="35">
        <f t="shared" si="18"/>
        <v>1059.3449889189856</v>
      </c>
      <c r="BH63" s="33">
        <f t="shared" si="19"/>
        <v>5.93449889189855E-2</v>
      </c>
      <c r="BI63" s="38">
        <f t="shared" si="20"/>
        <v>2.6238110856018362</v>
      </c>
      <c r="BJ63" s="38">
        <f t="shared" si="21"/>
        <v>0.87460369520061221</v>
      </c>
      <c r="BK63" s="32">
        <f t="shared" si="22"/>
        <v>28.643271017820048</v>
      </c>
      <c r="BL63" s="32">
        <f t="shared" si="23"/>
        <v>27.112714551218975</v>
      </c>
      <c r="BM63" s="32">
        <f t="shared" si="24"/>
        <v>51.60161801683612</v>
      </c>
      <c r="BN63" s="32">
        <f t="shared" si="25"/>
        <v>53.788127254837647</v>
      </c>
      <c r="BO63" s="32">
        <f t="shared" si="26"/>
        <v>-2.186509238001527</v>
      </c>
      <c r="BP63" s="20">
        <v>12</v>
      </c>
      <c r="BQ63" s="20">
        <v>4</v>
      </c>
      <c r="BR63" s="35">
        <v>119</v>
      </c>
      <c r="BS63" s="35">
        <v>120</v>
      </c>
      <c r="BT63" s="20">
        <v>53</v>
      </c>
      <c r="BU63" s="20">
        <v>58</v>
      </c>
      <c r="BV63" s="20">
        <v>52</v>
      </c>
      <c r="BW63" s="20">
        <v>64</v>
      </c>
      <c r="BX63" s="20">
        <v>106</v>
      </c>
      <c r="BY63" s="20">
        <v>108</v>
      </c>
      <c r="BZ63" s="33">
        <f t="shared" si="27"/>
        <v>0.49532710280373832</v>
      </c>
      <c r="CA63" s="23">
        <v>-7.81</v>
      </c>
      <c r="CB63" s="39">
        <f t="shared" si="28"/>
        <v>-8.7092483684363078</v>
      </c>
      <c r="CC63" s="38">
        <f t="shared" si="29"/>
        <v>2.7443616022699966</v>
      </c>
      <c r="CD63" s="38">
        <f t="shared" si="30"/>
        <v>2.0080694650756072</v>
      </c>
      <c r="CE63" s="32">
        <f t="shared" si="31"/>
        <v>31.192012357507764</v>
      </c>
      <c r="CF63" s="32">
        <f t="shared" si="32"/>
        <v>25.368610908788508</v>
      </c>
      <c r="CG63" s="32">
        <f t="shared" si="33"/>
        <v>56.493687617460417</v>
      </c>
      <c r="CH63" s="32">
        <f t="shared" si="34"/>
        <v>50.134800978054329</v>
      </c>
      <c r="CI63" s="32">
        <f t="shared" si="35"/>
        <v>-8.5453958774076142</v>
      </c>
      <c r="CJ63">
        <v>896.38333299999999</v>
      </c>
      <c r="CK63">
        <v>41</v>
      </c>
      <c r="CL63">
        <v>30</v>
      </c>
      <c r="CM63" s="35">
        <v>425</v>
      </c>
      <c r="CN63">
        <v>349</v>
      </c>
      <c r="CO63">
        <v>197</v>
      </c>
      <c r="CP63">
        <v>159</v>
      </c>
      <c r="CQ63">
        <v>181</v>
      </c>
      <c r="CR63">
        <v>211</v>
      </c>
      <c r="CS63" s="20">
        <v>1</v>
      </c>
      <c r="CT63" s="20">
        <v>1</v>
      </c>
      <c r="CU63" s="35">
        <f t="shared" si="36"/>
        <v>0</v>
      </c>
      <c r="CV63" s="38">
        <f t="shared" si="37"/>
        <v>0.20857473928157588</v>
      </c>
      <c r="CW63" s="38">
        <f t="shared" si="38"/>
        <v>0.20857473928157588</v>
      </c>
      <c r="CX63" s="38">
        <f t="shared" si="39"/>
        <v>0</v>
      </c>
      <c r="CY63" s="40">
        <v>11.17</v>
      </c>
      <c r="CZ63" s="40">
        <v>11.19</v>
      </c>
      <c r="DA63" s="40">
        <v>10.89</v>
      </c>
      <c r="DB63" s="40">
        <v>16.22</v>
      </c>
      <c r="DC63" s="40">
        <v>12.63</v>
      </c>
      <c r="DD63" s="40">
        <v>9.9600000000000009</v>
      </c>
      <c r="DE63">
        <v>0</v>
      </c>
      <c r="DF63">
        <v>0</v>
      </c>
      <c r="DG63" s="33" t="str">
        <f t="shared" si="40"/>
        <v xml:space="preserve"> </v>
      </c>
      <c r="DH63">
        <v>0</v>
      </c>
      <c r="DI63">
        <v>0</v>
      </c>
      <c r="DJ63">
        <v>0</v>
      </c>
      <c r="DK63">
        <v>0</v>
      </c>
      <c r="DL63">
        <v>0</v>
      </c>
      <c r="DM63" s="1" t="s">
        <v>395</v>
      </c>
      <c r="DN63" t="s">
        <v>396</v>
      </c>
    </row>
    <row r="64" spans="1:118" x14ac:dyDescent="0.25">
      <c r="A64" t="s">
        <v>397</v>
      </c>
      <c r="B64" t="s">
        <v>398</v>
      </c>
      <c r="C64" s="1" t="s">
        <v>130</v>
      </c>
      <c r="D64" s="2" t="s">
        <v>142</v>
      </c>
      <c r="E64">
        <v>71</v>
      </c>
      <c r="F64">
        <f>(8/71)</f>
        <v>0.11267605633802817</v>
      </c>
      <c r="G64" t="s">
        <v>544</v>
      </c>
      <c r="H64">
        <f>(11/52)</f>
        <v>0.21153846153846154</v>
      </c>
      <c r="I64">
        <v>2</v>
      </c>
      <c r="J64">
        <v>5</v>
      </c>
      <c r="K64" s="29">
        <f t="shared" si="0"/>
        <v>7</v>
      </c>
      <c r="L64" s="30">
        <f t="shared" si="1"/>
        <v>0.45735857275086655</v>
      </c>
      <c r="M64" s="20">
        <v>2</v>
      </c>
      <c r="N64" s="20">
        <v>1</v>
      </c>
      <c r="O64" s="20">
        <v>4</v>
      </c>
      <c r="P64" s="20">
        <v>57</v>
      </c>
      <c r="Q64" s="20">
        <v>27</v>
      </c>
      <c r="R64" s="20">
        <v>43</v>
      </c>
      <c r="S64" s="20">
        <v>28</v>
      </c>
      <c r="T64" s="31">
        <f t="shared" si="2"/>
        <v>3.5087719298245612E-2</v>
      </c>
      <c r="U64" s="31">
        <f t="shared" si="3"/>
        <v>1.5748031496062992E-2</v>
      </c>
      <c r="V64">
        <v>55099</v>
      </c>
      <c r="W64" s="32">
        <f t="shared" si="4"/>
        <v>12.934037558685446</v>
      </c>
      <c r="X64" s="23">
        <v>899.73</v>
      </c>
      <c r="Y64" s="32">
        <f t="shared" si="5"/>
        <v>12.672253521126761</v>
      </c>
      <c r="Z64" s="23">
        <v>2392.87</v>
      </c>
      <c r="AA64" s="32">
        <f t="shared" si="6"/>
        <v>33.702394366197183</v>
      </c>
      <c r="AB64" s="33">
        <f t="shared" si="7"/>
        <v>0.27325821539209133</v>
      </c>
      <c r="AC64" s="34">
        <f t="shared" si="8"/>
        <v>14.916666666666666</v>
      </c>
      <c r="AD64" s="20">
        <v>56</v>
      </c>
      <c r="AE64" s="20">
        <v>154</v>
      </c>
      <c r="AF64" s="20">
        <v>107</v>
      </c>
      <c r="AG64" s="20">
        <v>11</v>
      </c>
      <c r="AH64" s="20">
        <v>7</v>
      </c>
      <c r="AI64" s="31">
        <f t="shared" si="9"/>
        <v>8.3333333333333329E-2</v>
      </c>
      <c r="AJ64" s="31">
        <f t="shared" si="10"/>
        <v>0.20833333333333334</v>
      </c>
      <c r="AK64" s="31">
        <f t="shared" si="11"/>
        <v>0.29166666666666669</v>
      </c>
      <c r="AL64" s="20">
        <v>256</v>
      </c>
      <c r="AM64" s="33">
        <f t="shared" si="12"/>
        <v>0.33464052287581697</v>
      </c>
      <c r="AN64" s="20">
        <v>234</v>
      </c>
      <c r="AO64" s="33">
        <f t="shared" si="13"/>
        <v>0.30588235294117649</v>
      </c>
      <c r="AP64" s="20">
        <v>275</v>
      </c>
      <c r="AQ64" s="33">
        <f t="shared" si="14"/>
        <v>0.35947712418300654</v>
      </c>
      <c r="AR64" s="33">
        <f t="shared" si="15"/>
        <v>0.52244897959183678</v>
      </c>
      <c r="AS64" s="1">
        <v>7</v>
      </c>
      <c r="AT64" s="23">
        <v>5.95</v>
      </c>
      <c r="AU64" s="20">
        <v>17.02</v>
      </c>
      <c r="AV64" s="35">
        <v>7</v>
      </c>
      <c r="AW64" s="36">
        <v>4.3999999999999997E-2</v>
      </c>
      <c r="AX64" s="1">
        <v>7</v>
      </c>
      <c r="AY64" s="36">
        <v>0.55600000000000005</v>
      </c>
      <c r="AZ64" s="20">
        <v>50.23</v>
      </c>
      <c r="BA64" s="20">
        <v>15.98</v>
      </c>
      <c r="BB64" s="36">
        <v>0.02</v>
      </c>
      <c r="BC64" s="36">
        <v>-6.8819999999999997</v>
      </c>
      <c r="BD64" s="20">
        <v>47.97</v>
      </c>
      <c r="BE64" s="33">
        <f t="shared" si="16"/>
        <v>6.7039106145251395E-2</v>
      </c>
      <c r="BF64" s="37">
        <f t="shared" si="17"/>
        <v>0.92067307692307687</v>
      </c>
      <c r="BG64" s="35">
        <f t="shared" si="18"/>
        <v>987.71218306832827</v>
      </c>
      <c r="BH64" s="33">
        <f t="shared" si="19"/>
        <v>-1.2287816931671733E-2</v>
      </c>
      <c r="BI64" s="38">
        <f t="shared" si="20"/>
        <v>1.600480144043213</v>
      </c>
      <c r="BJ64" s="38">
        <f t="shared" si="21"/>
        <v>2.2006601980594178</v>
      </c>
      <c r="BK64" s="32">
        <f t="shared" si="22"/>
        <v>23.87382881531126</v>
      </c>
      <c r="BL64" s="32">
        <f t="shared" si="23"/>
        <v>27.741655830082358</v>
      </c>
      <c r="BM64" s="32">
        <f t="shared" si="24"/>
        <v>47.414224267280183</v>
      </c>
      <c r="BN64" s="32">
        <f t="shared" si="25"/>
        <v>57.483911840218731</v>
      </c>
      <c r="BO64" s="32">
        <f t="shared" si="26"/>
        <v>-10.069687572938548</v>
      </c>
      <c r="BP64" s="20">
        <v>24</v>
      </c>
      <c r="BQ64" s="20">
        <v>33</v>
      </c>
      <c r="BR64" s="35">
        <v>334</v>
      </c>
      <c r="BS64" s="35">
        <v>383</v>
      </c>
      <c r="BT64" s="20">
        <v>160</v>
      </c>
      <c r="BU64" s="20">
        <v>233</v>
      </c>
      <c r="BV64" s="20">
        <v>193</v>
      </c>
      <c r="BW64" s="20">
        <v>213</v>
      </c>
      <c r="BX64" s="20">
        <v>329</v>
      </c>
      <c r="BY64" s="20">
        <v>414</v>
      </c>
      <c r="BZ64" s="33">
        <f t="shared" si="27"/>
        <v>0.44279946164199191</v>
      </c>
      <c r="CA64" s="23">
        <v>-1.8</v>
      </c>
      <c r="CB64" s="39">
        <f t="shared" si="28"/>
        <v>-3.2604630831426284</v>
      </c>
      <c r="CC64" s="38">
        <f t="shared" si="29"/>
        <v>2.0631837341255239</v>
      </c>
      <c r="CD64" s="38">
        <f t="shared" si="30"/>
        <v>2.0997002603932322</v>
      </c>
      <c r="CE64" s="32">
        <f t="shared" si="31"/>
        <v>26.529256333490142</v>
      </c>
      <c r="CF64" s="32">
        <f t="shared" si="32"/>
        <v>30.655623801741189</v>
      </c>
      <c r="CG64" s="32">
        <f t="shared" si="33"/>
        <v>50.465839301972991</v>
      </c>
      <c r="CH64" s="32">
        <f t="shared" si="34"/>
        <v>58.335150712664152</v>
      </c>
      <c r="CI64" s="32">
        <f t="shared" si="35"/>
        <v>-2.2003761622473874</v>
      </c>
      <c r="CJ64">
        <v>3286.1833329999999</v>
      </c>
      <c r="CK64">
        <v>113</v>
      </c>
      <c r="CL64">
        <v>115</v>
      </c>
      <c r="CM64" s="35">
        <v>1340</v>
      </c>
      <c r="CN64">
        <v>1564</v>
      </c>
      <c r="CO64">
        <v>600</v>
      </c>
      <c r="CP64">
        <v>754</v>
      </c>
      <c r="CQ64">
        <v>711</v>
      </c>
      <c r="CR64">
        <v>762</v>
      </c>
      <c r="CS64" s="20">
        <v>14</v>
      </c>
      <c r="CT64" s="20">
        <v>1</v>
      </c>
      <c r="CU64" s="35">
        <f t="shared" si="36"/>
        <v>-13</v>
      </c>
      <c r="CV64" s="38">
        <f t="shared" si="37"/>
        <v>0.91471714550173311</v>
      </c>
      <c r="CW64" s="38">
        <f t="shared" si="38"/>
        <v>6.5336938964409508E-2</v>
      </c>
      <c r="CX64" s="38">
        <f t="shared" si="39"/>
        <v>-0.84938020653732371</v>
      </c>
      <c r="CY64" s="40">
        <v>24.2</v>
      </c>
      <c r="CZ64" s="40">
        <v>34.159999999999997</v>
      </c>
      <c r="DA64" s="40">
        <v>42.17</v>
      </c>
      <c r="DB64" s="40">
        <v>32.97</v>
      </c>
      <c r="DC64" s="40">
        <v>36.11</v>
      </c>
      <c r="DD64" s="40">
        <v>37.22</v>
      </c>
      <c r="DE64">
        <v>0</v>
      </c>
      <c r="DF64">
        <v>0</v>
      </c>
      <c r="DG64" s="33" t="str">
        <f t="shared" si="40"/>
        <v xml:space="preserve"> </v>
      </c>
      <c r="DH64">
        <v>0</v>
      </c>
      <c r="DI64">
        <v>0</v>
      </c>
      <c r="DJ64">
        <v>0</v>
      </c>
      <c r="DK64">
        <v>0</v>
      </c>
      <c r="DL64">
        <v>0</v>
      </c>
      <c r="DM64" s="1" t="s">
        <v>399</v>
      </c>
      <c r="DN64" t="s">
        <v>400</v>
      </c>
    </row>
    <row r="65" spans="1:118" x14ac:dyDescent="0.25">
      <c r="A65" t="s">
        <v>401</v>
      </c>
      <c r="B65" t="s">
        <v>402</v>
      </c>
      <c r="C65" s="1" t="s">
        <v>403</v>
      </c>
      <c r="D65" s="2" t="s">
        <v>321</v>
      </c>
      <c r="E65">
        <v>53</v>
      </c>
      <c r="F65">
        <f>(7/53)</f>
        <v>0.13207547169811321</v>
      </c>
      <c r="G65" t="s">
        <v>544</v>
      </c>
      <c r="H65">
        <f>(25/69)</f>
        <v>0.36231884057971014</v>
      </c>
      <c r="I65">
        <v>4</v>
      </c>
      <c r="J65">
        <v>2</v>
      </c>
      <c r="K65" s="29">
        <f t="shared" si="0"/>
        <v>6</v>
      </c>
      <c r="L65" s="30">
        <f t="shared" si="1"/>
        <v>0.63692389349217116</v>
      </c>
      <c r="M65" s="20">
        <v>2</v>
      </c>
      <c r="N65" s="20">
        <v>1</v>
      </c>
      <c r="O65" s="20">
        <v>1</v>
      </c>
      <c r="P65" s="20">
        <v>56</v>
      </c>
      <c r="Q65" s="20">
        <v>22</v>
      </c>
      <c r="R65" s="20">
        <v>14</v>
      </c>
      <c r="S65" s="20">
        <v>48</v>
      </c>
      <c r="T65" s="31">
        <f t="shared" si="2"/>
        <v>7.1428571428571425E-2</v>
      </c>
      <c r="U65" s="31">
        <f t="shared" si="3"/>
        <v>4.3478260869565216E-2</v>
      </c>
      <c r="V65">
        <v>33913</v>
      </c>
      <c r="W65" s="32">
        <f t="shared" si="4"/>
        <v>10.664465408805031</v>
      </c>
      <c r="X65" s="23">
        <v>565.88</v>
      </c>
      <c r="Y65" s="32">
        <f t="shared" si="5"/>
        <v>10.676981132075472</v>
      </c>
      <c r="Z65" s="23">
        <v>1914.85</v>
      </c>
      <c r="AA65" s="32">
        <f t="shared" si="6"/>
        <v>36.129245283018868</v>
      </c>
      <c r="AB65" s="33">
        <f t="shared" si="7"/>
        <v>0.22811027399192979</v>
      </c>
      <c r="AC65" s="34">
        <f t="shared" si="8"/>
        <v>22.8</v>
      </c>
      <c r="AD65" s="20">
        <v>18</v>
      </c>
      <c r="AE65" s="20">
        <v>84</v>
      </c>
      <c r="AF65" s="20">
        <v>48</v>
      </c>
      <c r="AG65" s="20">
        <v>5</v>
      </c>
      <c r="AH65" s="20">
        <v>18</v>
      </c>
      <c r="AI65" s="31">
        <f t="shared" si="9"/>
        <v>0.2</v>
      </c>
      <c r="AJ65" s="31">
        <f t="shared" si="10"/>
        <v>0.2</v>
      </c>
      <c r="AK65" s="31">
        <f t="shared" si="11"/>
        <v>0.4</v>
      </c>
      <c r="AL65" s="20">
        <v>172</v>
      </c>
      <c r="AM65" s="33">
        <f t="shared" si="12"/>
        <v>0.31215970961887479</v>
      </c>
      <c r="AN65" s="20">
        <v>184</v>
      </c>
      <c r="AO65" s="33">
        <f t="shared" si="13"/>
        <v>0.33393829401088931</v>
      </c>
      <c r="AP65" s="20">
        <v>195</v>
      </c>
      <c r="AQ65" s="33">
        <f t="shared" si="14"/>
        <v>0.35390199637023595</v>
      </c>
      <c r="AR65" s="33">
        <f t="shared" si="15"/>
        <v>0.48314606741573035</v>
      </c>
      <c r="AS65" s="1">
        <v>9</v>
      </c>
      <c r="AT65" s="23">
        <v>0.06</v>
      </c>
      <c r="AU65" s="20">
        <v>16.97</v>
      </c>
      <c r="AV65" s="35">
        <v>14</v>
      </c>
      <c r="AW65" s="36">
        <v>-1.9E-2</v>
      </c>
      <c r="AX65" s="1">
        <v>14</v>
      </c>
      <c r="AY65" s="36">
        <v>-1.2230000000000001</v>
      </c>
      <c r="AZ65" s="20">
        <v>49.61</v>
      </c>
      <c r="BA65" s="20">
        <v>17.13</v>
      </c>
      <c r="BB65" s="36">
        <v>-0.625</v>
      </c>
      <c r="BC65" s="36">
        <v>-3.101</v>
      </c>
      <c r="BD65" s="20">
        <v>48.82</v>
      </c>
      <c r="BE65" s="33">
        <f t="shared" si="16"/>
        <v>4.3859649122807015E-2</v>
      </c>
      <c r="BF65" s="37">
        <f t="shared" si="17"/>
        <v>0.92996108949416345</v>
      </c>
      <c r="BG65" s="35">
        <f t="shared" si="18"/>
        <v>973.82073861697052</v>
      </c>
      <c r="BH65" s="33">
        <f t="shared" si="19"/>
        <v>-2.6179261383029534E-2</v>
      </c>
      <c r="BI65" s="38">
        <f t="shared" si="20"/>
        <v>1.0602954690040292</v>
      </c>
      <c r="BJ65" s="38">
        <f t="shared" si="21"/>
        <v>1.9085318442072525</v>
      </c>
      <c r="BK65" s="32">
        <f t="shared" si="22"/>
        <v>24.174736693291866</v>
      </c>
      <c r="BL65" s="32">
        <f t="shared" si="23"/>
        <v>27.249593553403546</v>
      </c>
      <c r="BM65" s="32">
        <f t="shared" si="24"/>
        <v>42.093730119459956</v>
      </c>
      <c r="BN65" s="32">
        <f t="shared" si="25"/>
        <v>51.424330246695419</v>
      </c>
      <c r="BO65" s="32">
        <f t="shared" si="26"/>
        <v>-9.3306001272354635</v>
      </c>
      <c r="BP65" s="20">
        <v>10</v>
      </c>
      <c r="BQ65" s="20">
        <v>18</v>
      </c>
      <c r="BR65" s="35">
        <v>218</v>
      </c>
      <c r="BS65" s="35">
        <v>239</v>
      </c>
      <c r="BT65" s="20">
        <v>83</v>
      </c>
      <c r="BU65" s="20">
        <v>127</v>
      </c>
      <c r="BV65" s="20">
        <v>86</v>
      </c>
      <c r="BW65" s="20">
        <v>101</v>
      </c>
      <c r="BX65" s="20">
        <v>175</v>
      </c>
      <c r="BY65" s="20">
        <v>196</v>
      </c>
      <c r="BZ65" s="33">
        <f t="shared" si="27"/>
        <v>0.47169811320754718</v>
      </c>
      <c r="CA65" s="23">
        <v>-6.25</v>
      </c>
      <c r="CB65" s="39">
        <f t="shared" si="28"/>
        <v>-7.138105745212993</v>
      </c>
      <c r="CC65" s="38">
        <f t="shared" si="29"/>
        <v>2.4907302917942928</v>
      </c>
      <c r="CD65" s="38">
        <f t="shared" si="30"/>
        <v>1.9345477994518783</v>
      </c>
      <c r="CE65" s="32">
        <f t="shared" si="31"/>
        <v>27.760760922134452</v>
      </c>
      <c r="CF65" s="32">
        <f t="shared" si="32"/>
        <v>27.422215057230375</v>
      </c>
      <c r="CG65" s="32">
        <f t="shared" si="33"/>
        <v>47.783330646461394</v>
      </c>
      <c r="CH65" s="32">
        <f t="shared" si="34"/>
        <v>50.032242463324202</v>
      </c>
      <c r="CI65" s="32">
        <f t="shared" si="35"/>
        <v>-7.0816883103726553</v>
      </c>
      <c r="CJ65">
        <v>2481.1999999999998</v>
      </c>
      <c r="CK65">
        <v>103</v>
      </c>
      <c r="CL65">
        <v>80</v>
      </c>
      <c r="CM65" s="35">
        <v>1045</v>
      </c>
      <c r="CN65">
        <v>1054</v>
      </c>
      <c r="CO65">
        <v>419</v>
      </c>
      <c r="CP65">
        <v>475</v>
      </c>
      <c r="CQ65">
        <v>409</v>
      </c>
      <c r="CR65">
        <v>460</v>
      </c>
      <c r="CS65" s="20">
        <v>3</v>
      </c>
      <c r="CT65" s="20">
        <v>10</v>
      </c>
      <c r="CU65" s="35">
        <f t="shared" si="36"/>
        <v>7</v>
      </c>
      <c r="CV65" s="38">
        <f t="shared" si="37"/>
        <v>0.31846194674608563</v>
      </c>
      <c r="CW65" s="38">
        <f t="shared" si="38"/>
        <v>1.0615398224869521</v>
      </c>
      <c r="CX65" s="38">
        <f t="shared" si="39"/>
        <v>0.74307787574086648</v>
      </c>
      <c r="CY65" s="40">
        <v>16.18</v>
      </c>
      <c r="CZ65" s="40">
        <v>18.59</v>
      </c>
      <c r="DA65" s="40">
        <v>23.99</v>
      </c>
      <c r="DB65" s="40">
        <v>20.309999999999999</v>
      </c>
      <c r="DC65" s="40">
        <v>19.52</v>
      </c>
      <c r="DD65" s="40">
        <v>17.670000000000002</v>
      </c>
      <c r="DE65">
        <v>15</v>
      </c>
      <c r="DF65">
        <v>15</v>
      </c>
      <c r="DG65" s="33">
        <f t="shared" si="40"/>
        <v>0.5</v>
      </c>
      <c r="DH65">
        <v>-0.12</v>
      </c>
      <c r="DI65">
        <v>-1.1000000000000001</v>
      </c>
      <c r="DJ65">
        <v>20</v>
      </c>
      <c r="DK65">
        <v>6</v>
      </c>
      <c r="DL65">
        <v>3</v>
      </c>
      <c r="DM65" s="1" t="s">
        <v>404</v>
      </c>
      <c r="DN65" t="s">
        <v>405</v>
      </c>
    </row>
    <row r="66" spans="1:118" x14ac:dyDescent="0.25">
      <c r="A66" t="s">
        <v>406</v>
      </c>
      <c r="B66" t="s">
        <v>407</v>
      </c>
      <c r="C66" t="s">
        <v>403</v>
      </c>
      <c r="D66" s="1" t="s">
        <v>125</v>
      </c>
      <c r="E66">
        <v>20</v>
      </c>
      <c r="F66">
        <f>(7/20)</f>
        <v>0.35</v>
      </c>
      <c r="G66" t="s">
        <v>544</v>
      </c>
      <c r="H66">
        <f>(36/58)</f>
        <v>0.62068965517241381</v>
      </c>
      <c r="I66">
        <v>2</v>
      </c>
      <c r="J66">
        <v>5</v>
      </c>
      <c r="K66" s="29">
        <f t="shared" si="0"/>
        <v>7</v>
      </c>
      <c r="L66" s="30">
        <f t="shared" si="1"/>
        <v>2.2169437846397466</v>
      </c>
      <c r="M66" s="20">
        <v>2</v>
      </c>
      <c r="N66" s="20">
        <v>3</v>
      </c>
      <c r="O66" s="20">
        <v>1</v>
      </c>
      <c r="P66" s="20">
        <v>9</v>
      </c>
      <c r="Q66" s="20">
        <v>6</v>
      </c>
      <c r="R66" s="20">
        <v>2</v>
      </c>
      <c r="S66" s="20">
        <v>13</v>
      </c>
      <c r="T66" s="31">
        <f t="shared" si="2"/>
        <v>0.22222222222222221</v>
      </c>
      <c r="U66" s="31">
        <f t="shared" si="3"/>
        <v>0.11764705882352941</v>
      </c>
      <c r="V66">
        <v>11367</v>
      </c>
      <c r="W66" s="32">
        <f t="shared" si="4"/>
        <v>9.4725000000000001</v>
      </c>
      <c r="X66" s="23">
        <v>190</v>
      </c>
      <c r="Y66" s="32">
        <f t="shared" si="5"/>
        <v>9.5</v>
      </c>
      <c r="Z66" s="23">
        <v>720.75</v>
      </c>
      <c r="AA66" s="32">
        <f t="shared" si="6"/>
        <v>36.037500000000001</v>
      </c>
      <c r="AB66" s="33">
        <f t="shared" si="7"/>
        <v>0.20861926983255558</v>
      </c>
      <c r="AC66" s="34">
        <f t="shared" si="8"/>
        <v>25.285714285714285</v>
      </c>
      <c r="AD66" s="20">
        <v>2</v>
      </c>
      <c r="AE66" s="20">
        <v>18</v>
      </c>
      <c r="AF66" s="20">
        <v>18</v>
      </c>
      <c r="AG66" s="20">
        <v>1</v>
      </c>
      <c r="AH66" s="20">
        <v>6</v>
      </c>
      <c r="AI66" s="31">
        <f t="shared" si="9"/>
        <v>0.2857142857142857</v>
      </c>
      <c r="AJ66" s="31">
        <f t="shared" si="10"/>
        <v>0.5714285714285714</v>
      </c>
      <c r="AK66" s="31">
        <f t="shared" si="11"/>
        <v>0.8571428571428571</v>
      </c>
      <c r="AL66" s="20">
        <v>49</v>
      </c>
      <c r="AM66" s="33">
        <f t="shared" si="12"/>
        <v>0.3202614379084967</v>
      </c>
      <c r="AN66" s="20">
        <v>56</v>
      </c>
      <c r="AO66" s="33">
        <f t="shared" si="13"/>
        <v>0.36601307189542481</v>
      </c>
      <c r="AP66" s="20">
        <v>48</v>
      </c>
      <c r="AQ66" s="33">
        <f t="shared" si="14"/>
        <v>0.31372549019607843</v>
      </c>
      <c r="AR66" s="33">
        <f t="shared" si="15"/>
        <v>0.46666666666666667</v>
      </c>
      <c r="AS66" s="1">
        <v>5</v>
      </c>
      <c r="AT66" s="23">
        <v>0.49</v>
      </c>
      <c r="AU66" s="20">
        <v>16.71</v>
      </c>
      <c r="AV66" s="35">
        <v>16</v>
      </c>
      <c r="AW66" s="36">
        <v>3.6999999999999998E-2</v>
      </c>
      <c r="AX66" s="1">
        <v>13</v>
      </c>
      <c r="AY66" s="36">
        <v>-1.6850000000000001</v>
      </c>
      <c r="AZ66" s="20">
        <v>49.44</v>
      </c>
      <c r="BA66" s="20">
        <v>16.61</v>
      </c>
      <c r="BB66" s="36">
        <v>-3.22</v>
      </c>
      <c r="BC66" s="36">
        <v>-5.258</v>
      </c>
      <c r="BD66" s="20">
        <v>47.76</v>
      </c>
      <c r="BE66" s="33">
        <f t="shared" si="16"/>
        <v>0.11864406779661017</v>
      </c>
      <c r="BF66" s="37">
        <f t="shared" si="17"/>
        <v>0.94680851063829785</v>
      </c>
      <c r="BG66" s="35">
        <f t="shared" si="18"/>
        <v>1065.452578434908</v>
      </c>
      <c r="BH66" s="33">
        <f t="shared" si="19"/>
        <v>6.5452578434908024E-2</v>
      </c>
      <c r="BI66" s="38">
        <f t="shared" si="20"/>
        <v>2.2105263157894735</v>
      </c>
      <c r="BJ66" s="38">
        <f t="shared" si="21"/>
        <v>1.5789473684210527</v>
      </c>
      <c r="BK66" s="32">
        <f t="shared" si="22"/>
        <v>18.631578947368421</v>
      </c>
      <c r="BL66" s="32">
        <f t="shared" si="23"/>
        <v>29.684210526315788</v>
      </c>
      <c r="BM66" s="32">
        <f t="shared" si="24"/>
        <v>35.684210526315788</v>
      </c>
      <c r="BN66" s="32">
        <f t="shared" si="25"/>
        <v>49.578947368421055</v>
      </c>
      <c r="BO66" s="32">
        <f t="shared" si="26"/>
        <v>-13.894736842105267</v>
      </c>
      <c r="BP66" s="20">
        <v>7</v>
      </c>
      <c r="BQ66" s="20">
        <v>5</v>
      </c>
      <c r="BR66" s="35">
        <v>52</v>
      </c>
      <c r="BS66" s="35">
        <v>89</v>
      </c>
      <c r="BT66" s="20">
        <v>31</v>
      </c>
      <c r="BU66" s="20">
        <v>28</v>
      </c>
      <c r="BV66" s="20">
        <v>23</v>
      </c>
      <c r="BW66" s="20">
        <v>35</v>
      </c>
      <c r="BX66" s="20">
        <v>44</v>
      </c>
      <c r="BY66" s="20">
        <v>58</v>
      </c>
      <c r="BZ66" s="33">
        <f t="shared" si="27"/>
        <v>0.43137254901960786</v>
      </c>
      <c r="CA66" s="23">
        <v>-9.64</v>
      </c>
      <c r="CB66" s="39">
        <f t="shared" si="28"/>
        <v>-9.6117368421052678</v>
      </c>
      <c r="CC66" s="38">
        <f t="shared" si="29"/>
        <v>2.8358400362122267</v>
      </c>
      <c r="CD66" s="38">
        <f t="shared" si="30"/>
        <v>1.6487442071001317</v>
      </c>
      <c r="CE66" s="32">
        <f t="shared" si="31"/>
        <v>25.588510094194042</v>
      </c>
      <c r="CF66" s="32">
        <f t="shared" si="32"/>
        <v>29.017898044962315</v>
      </c>
      <c r="CG66" s="32">
        <f t="shared" si="33"/>
        <v>44.450143823419545</v>
      </c>
      <c r="CH66" s="32">
        <f t="shared" si="34"/>
        <v>50.649422042116043</v>
      </c>
      <c r="CI66" s="32">
        <f t="shared" si="35"/>
        <v>-7.6954586234087685</v>
      </c>
      <c r="CJ66">
        <v>909.78333299999997</v>
      </c>
      <c r="CK66">
        <v>43</v>
      </c>
      <c r="CL66">
        <v>25</v>
      </c>
      <c r="CM66" s="35">
        <v>345</v>
      </c>
      <c r="CN66">
        <v>415</v>
      </c>
      <c r="CO66">
        <v>154</v>
      </c>
      <c r="CP66">
        <v>165</v>
      </c>
      <c r="CQ66">
        <v>132</v>
      </c>
      <c r="CR66">
        <v>163</v>
      </c>
      <c r="CS66" s="20">
        <v>1</v>
      </c>
      <c r="CT66" s="20">
        <v>2</v>
      </c>
      <c r="CU66" s="35">
        <f t="shared" si="36"/>
        <v>1</v>
      </c>
      <c r="CV66" s="38">
        <f t="shared" si="37"/>
        <v>0.31670625494853522</v>
      </c>
      <c r="CW66" s="38">
        <f t="shared" si="38"/>
        <v>0.63341250989707043</v>
      </c>
      <c r="CX66" s="38">
        <f t="shared" si="39"/>
        <v>0.31670625494853522</v>
      </c>
      <c r="CY66" s="40">
        <v>3.95</v>
      </c>
      <c r="CZ66" s="40">
        <v>6.42</v>
      </c>
      <c r="DA66" s="40">
        <v>5.09</v>
      </c>
      <c r="DB66" s="40">
        <v>19.71</v>
      </c>
      <c r="DC66" s="40">
        <v>6.51</v>
      </c>
      <c r="DD66" s="40">
        <v>7.89</v>
      </c>
      <c r="DE66">
        <v>52</v>
      </c>
      <c r="DF66">
        <v>50</v>
      </c>
      <c r="DG66" s="33">
        <f t="shared" si="40"/>
        <v>0.50980392156862742</v>
      </c>
      <c r="DH66">
        <v>-0.02</v>
      </c>
      <c r="DI66">
        <v>4.5199999999999996</v>
      </c>
      <c r="DJ66">
        <v>35</v>
      </c>
      <c r="DK66">
        <v>34</v>
      </c>
      <c r="DL66">
        <v>33</v>
      </c>
      <c r="DM66" s="1" t="s">
        <v>408</v>
      </c>
      <c r="DN66" t="s">
        <v>409</v>
      </c>
    </row>
    <row r="67" spans="1:118" x14ac:dyDescent="0.25">
      <c r="A67" t="s">
        <v>410</v>
      </c>
      <c r="B67" t="s">
        <v>411</v>
      </c>
      <c r="C67" s="1" t="s">
        <v>412</v>
      </c>
      <c r="D67" s="2" t="s">
        <v>142</v>
      </c>
      <c r="E67">
        <v>29</v>
      </c>
      <c r="F67">
        <f>(7/29)</f>
        <v>0.2413793103448276</v>
      </c>
      <c r="G67" t="s">
        <v>538</v>
      </c>
      <c r="H67">
        <f>(42/39)</f>
        <v>1.0769230769230769</v>
      </c>
      <c r="I67">
        <v>1</v>
      </c>
      <c r="J67">
        <v>4</v>
      </c>
      <c r="K67" s="29">
        <f t="shared" ref="K67:K101" si="41">I67+J67</f>
        <v>5</v>
      </c>
      <c r="L67" s="30">
        <f t="shared" ref="L67:L101" si="42">K67/V67*60*60</f>
        <v>1.0130001688333614</v>
      </c>
      <c r="M67" s="20">
        <v>1</v>
      </c>
      <c r="N67" s="20">
        <v>2</v>
      </c>
      <c r="O67" s="20">
        <v>2</v>
      </c>
      <c r="P67" s="20">
        <v>15</v>
      </c>
      <c r="Q67" s="20">
        <v>5</v>
      </c>
      <c r="R67" s="20">
        <v>8</v>
      </c>
      <c r="S67" s="20">
        <v>10</v>
      </c>
      <c r="T67" s="31">
        <f t="shared" ref="T67:T101" si="43">IF(P67&gt;0,I67/P67,0)</f>
        <v>6.6666666666666666E-2</v>
      </c>
      <c r="U67" s="31">
        <f t="shared" ref="U67:U101" si="44">IF(SUM(P67:R67)&gt;0,I67/SUM(P67:R67),0)</f>
        <v>3.5714285714285712E-2</v>
      </c>
      <c r="V67">
        <v>17769</v>
      </c>
      <c r="W67" s="32">
        <f t="shared" ref="W67:W101" si="45">V67/E67/60</f>
        <v>10.212068965517242</v>
      </c>
      <c r="X67" s="23">
        <v>288.14999999999998</v>
      </c>
      <c r="Y67" s="32">
        <f t="shared" ref="Y67:Y101" si="46">X67/E67</f>
        <v>9.9362068965517238</v>
      </c>
      <c r="Z67" s="23">
        <v>1110.25</v>
      </c>
      <c r="AA67" s="32">
        <f t="shared" ref="AA67:AA101" si="47">Z67/E67</f>
        <v>38.28448275862069</v>
      </c>
      <c r="AB67" s="33">
        <f t="shared" ref="AB67:AB101" si="48">IF(Y67&gt;0,Y67/(Y67+AA67),0)</f>
        <v>0.20605692219679633</v>
      </c>
      <c r="AC67" s="34">
        <f t="shared" ref="AC67:AC101" si="49">IF(BE67&gt;0,N67/BE67,0)</f>
        <v>32</v>
      </c>
      <c r="AD67" s="20">
        <v>20</v>
      </c>
      <c r="AE67" s="20">
        <v>3</v>
      </c>
      <c r="AF67" s="20">
        <v>25</v>
      </c>
      <c r="AG67" s="20">
        <v>9</v>
      </c>
      <c r="AH67" s="20">
        <v>2</v>
      </c>
      <c r="AI67" s="31">
        <f t="shared" ref="AI67:AI101" si="50">IF(BP67&gt;0,M67/BP67,0)</f>
        <v>0.1111111111111111</v>
      </c>
      <c r="AJ67" s="31">
        <f t="shared" ref="AJ67:AJ101" si="51">IF(BP67&gt;0,(N67+O67)/BP67,0)</f>
        <v>0.44444444444444442</v>
      </c>
      <c r="AK67" s="31">
        <f t="shared" ref="AK67:AK101" si="52">AI67+AJ67</f>
        <v>0.55555555555555558</v>
      </c>
      <c r="AL67" s="20">
        <v>83</v>
      </c>
      <c r="AM67" s="33">
        <f t="shared" ref="AM67:AM101" si="53">IF(AL67&gt;0,AL67/(AL67+AN67+AP67),0)</f>
        <v>0.46111111111111114</v>
      </c>
      <c r="AN67" s="20">
        <v>42</v>
      </c>
      <c r="AO67" s="33">
        <f t="shared" ref="AO67:AO101" si="54">IF(AN67&gt;0,AN67/(AL67+AN67+AP67),0)</f>
        <v>0.23333333333333334</v>
      </c>
      <c r="AP67" s="20">
        <v>55</v>
      </c>
      <c r="AQ67" s="33">
        <f t="shared" ref="AQ67:AQ101" si="55">IF(AP67&gt;0,AP67/(AL67+AN67+AP67),0)</f>
        <v>0.30555555555555558</v>
      </c>
      <c r="AR67" s="33">
        <f t="shared" ref="AR67:AR101" si="56">IF(AL67&gt;0,AL67/(AL67+AN67),0)</f>
        <v>0.66400000000000003</v>
      </c>
      <c r="AS67" s="1">
        <v>8</v>
      </c>
      <c r="AT67" s="23">
        <v>18.96</v>
      </c>
      <c r="AU67" s="20">
        <v>16.829999999999998</v>
      </c>
      <c r="AV67" s="35">
        <v>7</v>
      </c>
      <c r="AW67" s="36">
        <v>-0.68500000000000005</v>
      </c>
      <c r="AX67" s="1">
        <v>8</v>
      </c>
      <c r="AY67" s="36">
        <v>-1.0629999999999999</v>
      </c>
      <c r="AZ67" s="20">
        <v>49.41</v>
      </c>
      <c r="BA67" s="20">
        <v>15.82</v>
      </c>
      <c r="BB67" s="36">
        <v>-1.7210000000000001</v>
      </c>
      <c r="BC67" s="36">
        <v>-6.0019999999999998</v>
      </c>
      <c r="BD67" s="20">
        <v>47.2</v>
      </c>
      <c r="BE67" s="33">
        <f t="shared" ref="BE67:BE101" si="57">IF(BP67&gt;0,BP67/(BP67+BR67),0)</f>
        <v>6.25E-2</v>
      </c>
      <c r="BF67" s="37">
        <f t="shared" ref="BF67:BF101" si="58">BS67/MAX(1,BQ67+BS67)</f>
        <v>0.91558441558441561</v>
      </c>
      <c r="BG67" s="35">
        <f t="shared" ref="BG67:BG101" si="59">BF67*1000+BE67*1000</f>
        <v>978.08441558441564</v>
      </c>
      <c r="BH67" s="33">
        <f t="shared" ref="BH67:BH101" si="60">BE67-(1-BF67)</f>
        <v>-2.1915584415584388E-2</v>
      </c>
      <c r="BI67" s="38">
        <f t="shared" ref="BI67:BI101" si="61">IF(Y67&gt;0,BP67/(Y67*E67)*60,0)</f>
        <v>1.8740239458615306</v>
      </c>
      <c r="BJ67" s="38">
        <f t="shared" ref="BJ67:BJ101" si="62">IF(Y67&gt;0,BQ67/(Y67*E67)*60,0)</f>
        <v>2.7069234773555442</v>
      </c>
      <c r="BK67" s="32">
        <f t="shared" ref="BK67:BK101" si="63">IF(Y67&gt;0,(BP67+BR67)/(Y67*E67)*60,0)</f>
        <v>29.98438313378449</v>
      </c>
      <c r="BL67" s="32">
        <f t="shared" ref="BL67:BL101" si="64">IF(Y67&gt;0,(BQ67+BS67)/(Y67*E67)*60,0)</f>
        <v>32.066631962519523</v>
      </c>
      <c r="BM67" s="32">
        <f t="shared" ref="BM67:BM101" si="65">IF(Y67&gt;0,(BP67+BR67+BT67+BV67)/(Y67*E67)*60,0)</f>
        <v>52.68089536699636</v>
      </c>
      <c r="BN67" s="32">
        <f t="shared" ref="BN67:BN101" si="66">IF(Y67&gt;0,(BQ67+BS67+BU67+BW67)/(Y67*E67)*60,0)</f>
        <v>61.426340447683501</v>
      </c>
      <c r="BO67" s="32">
        <f t="shared" ref="BO67:BO101" si="67">BM67-BN67</f>
        <v>-8.7454450806871407</v>
      </c>
      <c r="BP67" s="20">
        <v>9</v>
      </c>
      <c r="BQ67" s="20">
        <v>13</v>
      </c>
      <c r="BR67" s="35">
        <v>135</v>
      </c>
      <c r="BS67" s="35">
        <v>141</v>
      </c>
      <c r="BT67" s="20">
        <v>54</v>
      </c>
      <c r="BU67" s="20">
        <v>63</v>
      </c>
      <c r="BV67" s="20">
        <v>55</v>
      </c>
      <c r="BW67" s="20">
        <v>78</v>
      </c>
      <c r="BX67" s="20">
        <v>121</v>
      </c>
      <c r="BY67" s="20">
        <v>146</v>
      </c>
      <c r="BZ67" s="33">
        <f t="shared" ref="BZ67:BZ101" si="68">IF(BX67&gt;0,BX67/(BX67+BY67),0)</f>
        <v>0.45318352059925093</v>
      </c>
      <c r="CA67" s="23">
        <v>-3.67</v>
      </c>
      <c r="CB67" s="39">
        <f t="shared" ref="CB67:CB101" si="69">BO67-(-11.91+BC67-AY67+AR67*24)</f>
        <v>-7.8324450806871404</v>
      </c>
      <c r="CC67" s="38">
        <f t="shared" ref="CC67:CC101" si="70">IF(AA67&gt;0,CK67/CJ67*60,0)</f>
        <v>2.252125166578236</v>
      </c>
      <c r="CD67" s="38">
        <f t="shared" ref="CD67:CD101" si="71">IF(AA67&gt;0,CL67/CJ67*60,0)</f>
        <v>1.8546913136526646</v>
      </c>
      <c r="CE67" s="32">
        <f t="shared" ref="CE67:CE101" si="72">IF(AA67&gt;0,(CK67+CM67)/CJ67)*60</f>
        <v>27.246298583897481</v>
      </c>
      <c r="CF67" s="32">
        <f t="shared" ref="CF67:CF101" si="73">IF(AA67&gt;0,(CL67+CN67)/CJ67*60,0)</f>
        <v>27.422935851864402</v>
      </c>
      <c r="CG67" s="32">
        <f t="shared" ref="CG67:CG101" si="74">IF(AA67&gt;0,(CK67+CM67+CO67+CQ67)/CJ67*60,0)</f>
        <v>49.81170956667156</v>
      </c>
      <c r="CH67" s="32">
        <f t="shared" ref="CH67:CH101" si="75">IF(AA67&gt;0,(CL67+CN67+CP67+CR67)/CJ67)*60</f>
        <v>55.729058043563398</v>
      </c>
      <c r="CI67" s="32">
        <f t="shared" ref="CI67:CI101" si="76">BO67-(CG67-CH67)</f>
        <v>-2.8280966037953021</v>
      </c>
      <c r="CJ67">
        <v>1358.7166669999999</v>
      </c>
      <c r="CK67">
        <v>51</v>
      </c>
      <c r="CL67">
        <v>42</v>
      </c>
      <c r="CM67" s="35">
        <v>566</v>
      </c>
      <c r="CN67">
        <v>579</v>
      </c>
      <c r="CO67">
        <v>233</v>
      </c>
      <c r="CP67">
        <v>290</v>
      </c>
      <c r="CQ67">
        <v>278</v>
      </c>
      <c r="CR67">
        <v>351</v>
      </c>
      <c r="CS67" s="20">
        <v>2</v>
      </c>
      <c r="CT67" s="20">
        <v>1</v>
      </c>
      <c r="CU67" s="35">
        <f t="shared" ref="CU67:CU101" si="77">CT67-CS67</f>
        <v>-1</v>
      </c>
      <c r="CV67" s="38">
        <f t="shared" ref="CV67:CV101" si="78">CS67/(W67*E67)*60</f>
        <v>0.40520006753334453</v>
      </c>
      <c r="CW67" s="38">
        <f t="shared" ref="CW67:CW101" si="79">CT67/(W67*E67)*60</f>
        <v>0.20260003376667227</v>
      </c>
      <c r="CX67" s="38">
        <f t="shared" ref="CX67:CX101" si="80">CU67/(W67*E67)*60</f>
        <v>-0.20260003376667227</v>
      </c>
      <c r="CY67" s="40">
        <v>11.04</v>
      </c>
      <c r="CZ67" s="40">
        <v>10.98</v>
      </c>
      <c r="DA67" s="40">
        <v>9.15</v>
      </c>
      <c r="DB67" s="40">
        <v>7.42</v>
      </c>
      <c r="DC67" s="40">
        <v>9.4</v>
      </c>
      <c r="DD67" s="40">
        <v>9.09</v>
      </c>
      <c r="DE67">
        <v>0</v>
      </c>
      <c r="DF67">
        <v>0</v>
      </c>
      <c r="DG67" s="33" t="str">
        <f t="shared" ref="DG67:DG101" si="81">IF((DE67+DF67)&gt;0,DE67/(DE67+DF67)," ")</f>
        <v xml:space="preserve"> </v>
      </c>
      <c r="DH67">
        <v>0</v>
      </c>
      <c r="DI67">
        <v>0</v>
      </c>
      <c r="DJ67">
        <v>0</v>
      </c>
      <c r="DK67">
        <v>0</v>
      </c>
      <c r="DL67">
        <v>0</v>
      </c>
      <c r="DM67" s="1" t="s">
        <v>413</v>
      </c>
      <c r="DN67" t="s">
        <v>414</v>
      </c>
    </row>
    <row r="68" spans="1:118" x14ac:dyDescent="0.25">
      <c r="A68" t="s">
        <v>415</v>
      </c>
      <c r="B68" t="s">
        <v>416</v>
      </c>
      <c r="C68" s="1" t="s">
        <v>136</v>
      </c>
      <c r="D68" s="2" t="s">
        <v>142</v>
      </c>
      <c r="E68">
        <v>29</v>
      </c>
      <c r="F68">
        <f>(7/29)</f>
        <v>0.2413793103448276</v>
      </c>
      <c r="G68" t="s">
        <v>544</v>
      </c>
      <c r="H68">
        <f>(18/49)</f>
        <v>0.36734693877551022</v>
      </c>
      <c r="I68">
        <v>1</v>
      </c>
      <c r="J68">
        <v>6</v>
      </c>
      <c r="K68" s="29">
        <f t="shared" si="41"/>
        <v>7</v>
      </c>
      <c r="L68" s="30">
        <f t="shared" si="42"/>
        <v>1.0354178650669734</v>
      </c>
      <c r="M68" s="20">
        <v>1</v>
      </c>
      <c r="N68" s="20">
        <v>1</v>
      </c>
      <c r="O68" s="20">
        <v>5</v>
      </c>
      <c r="P68" s="20">
        <v>40</v>
      </c>
      <c r="Q68" s="20">
        <v>15</v>
      </c>
      <c r="R68" s="20">
        <v>19</v>
      </c>
      <c r="S68" s="20">
        <v>15</v>
      </c>
      <c r="T68" s="31">
        <f t="shared" si="43"/>
        <v>2.5000000000000001E-2</v>
      </c>
      <c r="U68" s="31">
        <f t="shared" si="44"/>
        <v>1.3513513513513514E-2</v>
      </c>
      <c r="V68">
        <v>24338</v>
      </c>
      <c r="W68" s="32">
        <f t="shared" si="45"/>
        <v>13.987356321839082</v>
      </c>
      <c r="X68" s="23">
        <v>404.23</v>
      </c>
      <c r="Y68" s="32">
        <f t="shared" si="46"/>
        <v>13.93896551724138</v>
      </c>
      <c r="Z68" s="23">
        <v>964.48</v>
      </c>
      <c r="AA68" s="32">
        <f t="shared" si="47"/>
        <v>33.257931034482759</v>
      </c>
      <c r="AB68" s="33">
        <f t="shared" si="48"/>
        <v>0.29533648471918816</v>
      </c>
      <c r="AC68" s="34">
        <f t="shared" si="49"/>
        <v>11.055555555555555</v>
      </c>
      <c r="AD68" s="20">
        <v>30</v>
      </c>
      <c r="AE68" s="20">
        <v>19</v>
      </c>
      <c r="AF68" s="20">
        <v>54</v>
      </c>
      <c r="AG68" s="20">
        <v>17</v>
      </c>
      <c r="AH68" s="20">
        <v>5</v>
      </c>
      <c r="AI68" s="31">
        <f t="shared" si="50"/>
        <v>5.5555555555555552E-2</v>
      </c>
      <c r="AJ68" s="31">
        <f t="shared" si="51"/>
        <v>0.33333333333333331</v>
      </c>
      <c r="AK68" s="31">
        <f t="shared" si="52"/>
        <v>0.38888888888888884</v>
      </c>
      <c r="AL68" s="20">
        <v>120</v>
      </c>
      <c r="AM68" s="33">
        <f t="shared" si="53"/>
        <v>0.3592814371257485</v>
      </c>
      <c r="AN68" s="20">
        <v>101</v>
      </c>
      <c r="AO68" s="33">
        <f t="shared" si="54"/>
        <v>0.30239520958083832</v>
      </c>
      <c r="AP68" s="20">
        <v>113</v>
      </c>
      <c r="AQ68" s="33">
        <f t="shared" si="55"/>
        <v>0.33832335329341318</v>
      </c>
      <c r="AR68" s="33">
        <f t="shared" si="56"/>
        <v>0.54298642533936647</v>
      </c>
      <c r="AS68" s="1">
        <v>8</v>
      </c>
      <c r="AT68" s="23">
        <v>8.6999999999999993</v>
      </c>
      <c r="AU68" s="20">
        <v>17.04</v>
      </c>
      <c r="AV68" s="35">
        <v>9</v>
      </c>
      <c r="AW68" s="36">
        <v>-0.56100000000000005</v>
      </c>
      <c r="AX68" s="1">
        <v>9</v>
      </c>
      <c r="AY68" s="36">
        <v>-1.3080000000000001</v>
      </c>
      <c r="AZ68" s="20">
        <v>49.82</v>
      </c>
      <c r="BA68" s="20">
        <v>16.559999999999999</v>
      </c>
      <c r="BB68" s="36">
        <v>-0.47100000000000003</v>
      </c>
      <c r="BC68" s="36">
        <v>-0.61799999999999999</v>
      </c>
      <c r="BD68" s="20">
        <v>49.36</v>
      </c>
      <c r="BE68" s="33">
        <f t="shared" si="57"/>
        <v>9.0452261306532666E-2</v>
      </c>
      <c r="BF68" s="37">
        <f t="shared" si="58"/>
        <v>0.94786729857819907</v>
      </c>
      <c r="BG68" s="35">
        <f t="shared" si="59"/>
        <v>1038.3195598847317</v>
      </c>
      <c r="BH68" s="33">
        <f t="shared" si="60"/>
        <v>3.8319559884731735E-2</v>
      </c>
      <c r="BI68" s="38">
        <f t="shared" si="61"/>
        <v>2.6717462830566756</v>
      </c>
      <c r="BJ68" s="38">
        <f t="shared" si="62"/>
        <v>1.632733839645746</v>
      </c>
      <c r="BK68" s="32">
        <f t="shared" si="63"/>
        <v>29.537639462682133</v>
      </c>
      <c r="BL68" s="32">
        <f t="shared" si="64"/>
        <v>31.318803651386588</v>
      </c>
      <c r="BM68" s="32">
        <f t="shared" si="65"/>
        <v>54.177077406427031</v>
      </c>
      <c r="BN68" s="32">
        <f t="shared" si="66"/>
        <v>57.590975434777228</v>
      </c>
      <c r="BO68" s="32">
        <f t="shared" si="67"/>
        <v>-3.4138980283501965</v>
      </c>
      <c r="BP68" s="20">
        <v>18</v>
      </c>
      <c r="BQ68" s="20">
        <v>11</v>
      </c>
      <c r="BR68" s="35">
        <v>181</v>
      </c>
      <c r="BS68" s="35">
        <v>200</v>
      </c>
      <c r="BT68" s="20">
        <v>73</v>
      </c>
      <c r="BU68" s="20">
        <v>88</v>
      </c>
      <c r="BV68" s="20">
        <v>93</v>
      </c>
      <c r="BW68" s="20">
        <v>89</v>
      </c>
      <c r="BX68" s="20">
        <v>198</v>
      </c>
      <c r="BY68" s="20">
        <v>199</v>
      </c>
      <c r="BZ68" s="33">
        <f t="shared" si="68"/>
        <v>0.4987405541561713</v>
      </c>
      <c r="CA68" s="23">
        <v>-1.89</v>
      </c>
      <c r="CB68" s="39">
        <f t="shared" si="69"/>
        <v>-5.2255722364949921</v>
      </c>
      <c r="CC68" s="38">
        <f t="shared" si="70"/>
        <v>1.9574404982575815</v>
      </c>
      <c r="CD68" s="38">
        <f t="shared" si="71"/>
        <v>1.9129532142062724</v>
      </c>
      <c r="CE68" s="32">
        <f t="shared" si="72"/>
        <v>30.340327722992512</v>
      </c>
      <c r="CF68" s="32">
        <f t="shared" si="73"/>
        <v>30.874175131608212</v>
      </c>
      <c r="CG68" s="32">
        <f t="shared" si="74"/>
        <v>56.27641432490546</v>
      </c>
      <c r="CH68" s="32">
        <f t="shared" si="75"/>
        <v>56.23192704085416</v>
      </c>
      <c r="CI68" s="32">
        <f t="shared" si="76"/>
        <v>-3.4583853124014965</v>
      </c>
      <c r="CJ68">
        <v>1348.7</v>
      </c>
      <c r="CK68">
        <v>44</v>
      </c>
      <c r="CL68">
        <v>43</v>
      </c>
      <c r="CM68" s="35">
        <v>638</v>
      </c>
      <c r="CN68">
        <v>651</v>
      </c>
      <c r="CO68">
        <v>233</v>
      </c>
      <c r="CP68">
        <v>256</v>
      </c>
      <c r="CQ68">
        <v>350</v>
      </c>
      <c r="CR68">
        <v>314</v>
      </c>
      <c r="CS68" s="20">
        <v>10</v>
      </c>
      <c r="CT68" s="20">
        <v>4</v>
      </c>
      <c r="CU68" s="35">
        <f t="shared" si="77"/>
        <v>-6</v>
      </c>
      <c r="CV68" s="38">
        <f t="shared" si="78"/>
        <v>1.4791683786671046</v>
      </c>
      <c r="CW68" s="38">
        <f t="shared" si="79"/>
        <v>0.59166735146684191</v>
      </c>
      <c r="CX68" s="38">
        <f t="shared" si="80"/>
        <v>-0.8875010272002628</v>
      </c>
      <c r="CY68" s="40">
        <v>15.48</v>
      </c>
      <c r="CZ68" s="40">
        <v>15.83</v>
      </c>
      <c r="DA68" s="40">
        <v>9.3699999999999992</v>
      </c>
      <c r="DB68" s="40">
        <v>11.42</v>
      </c>
      <c r="DC68" s="40">
        <v>18.190000000000001</v>
      </c>
      <c r="DD68" s="40">
        <v>16.670000000000002</v>
      </c>
      <c r="DE68">
        <v>0</v>
      </c>
      <c r="DF68">
        <v>0</v>
      </c>
      <c r="DG68" s="33" t="str">
        <f t="shared" si="81"/>
        <v xml:space="preserve"> </v>
      </c>
      <c r="DH68">
        <v>0</v>
      </c>
      <c r="DI68">
        <v>0</v>
      </c>
      <c r="DJ68">
        <v>0</v>
      </c>
      <c r="DK68">
        <v>0</v>
      </c>
      <c r="DL68">
        <v>0</v>
      </c>
      <c r="DM68" s="1" t="s">
        <v>417</v>
      </c>
      <c r="DN68" t="s">
        <v>418</v>
      </c>
    </row>
    <row r="69" spans="1:118" x14ac:dyDescent="0.25">
      <c r="A69" t="s">
        <v>419</v>
      </c>
      <c r="B69" t="s">
        <v>420</v>
      </c>
      <c r="C69" s="1" t="s">
        <v>229</v>
      </c>
      <c r="D69" s="2" t="s">
        <v>142</v>
      </c>
      <c r="E69">
        <v>38</v>
      </c>
      <c r="F69">
        <f>(7/38)</f>
        <v>0.18421052631578946</v>
      </c>
      <c r="G69" t="s">
        <v>544</v>
      </c>
      <c r="H69">
        <f>(15/53)</f>
        <v>0.28301886792452829</v>
      </c>
      <c r="I69">
        <v>1</v>
      </c>
      <c r="J69">
        <v>6</v>
      </c>
      <c r="K69" s="29">
        <f t="shared" si="41"/>
        <v>7</v>
      </c>
      <c r="L69" s="30">
        <f t="shared" si="42"/>
        <v>0.72802912116484664</v>
      </c>
      <c r="M69" s="20">
        <v>0</v>
      </c>
      <c r="N69" s="20">
        <v>5</v>
      </c>
      <c r="O69" s="20">
        <v>1</v>
      </c>
      <c r="P69" s="20">
        <v>31</v>
      </c>
      <c r="Q69" s="20">
        <v>15</v>
      </c>
      <c r="R69" s="20">
        <v>34</v>
      </c>
      <c r="S69" s="20">
        <v>16</v>
      </c>
      <c r="T69" s="31">
        <f t="shared" si="43"/>
        <v>3.2258064516129031E-2</v>
      </c>
      <c r="U69" s="31">
        <f t="shared" si="44"/>
        <v>1.2500000000000001E-2</v>
      </c>
      <c r="V69">
        <v>34614</v>
      </c>
      <c r="W69" s="32">
        <f t="shared" si="45"/>
        <v>15.181578947368422</v>
      </c>
      <c r="X69" s="23">
        <v>569.98</v>
      </c>
      <c r="Y69" s="32">
        <f t="shared" si="46"/>
        <v>14.999473684210527</v>
      </c>
      <c r="Z69" s="23">
        <v>1254.02</v>
      </c>
      <c r="AA69" s="32">
        <f t="shared" si="47"/>
        <v>33.000526315789472</v>
      </c>
      <c r="AB69" s="33">
        <f t="shared" si="48"/>
        <v>0.3124890350877193</v>
      </c>
      <c r="AC69" s="34">
        <f t="shared" si="49"/>
        <v>74.705882352941174</v>
      </c>
      <c r="AD69" s="20">
        <v>40</v>
      </c>
      <c r="AE69" s="20">
        <v>95</v>
      </c>
      <c r="AF69" s="20">
        <v>91</v>
      </c>
      <c r="AG69" s="20">
        <v>28</v>
      </c>
      <c r="AH69" s="20">
        <v>11</v>
      </c>
      <c r="AI69" s="31">
        <f t="shared" si="50"/>
        <v>0</v>
      </c>
      <c r="AJ69" s="31">
        <f t="shared" si="51"/>
        <v>0.35294117647058826</v>
      </c>
      <c r="AK69" s="31">
        <f t="shared" si="52"/>
        <v>0.35294117647058826</v>
      </c>
      <c r="AL69" s="20">
        <v>140</v>
      </c>
      <c r="AM69" s="33">
        <f t="shared" si="53"/>
        <v>0.25735294117647056</v>
      </c>
      <c r="AN69" s="20">
        <v>207</v>
      </c>
      <c r="AO69" s="33">
        <f t="shared" si="54"/>
        <v>0.38051470588235292</v>
      </c>
      <c r="AP69" s="20">
        <v>197</v>
      </c>
      <c r="AQ69" s="33">
        <f t="shared" si="55"/>
        <v>0.36213235294117646</v>
      </c>
      <c r="AR69" s="33">
        <f t="shared" si="56"/>
        <v>0.40345821325648418</v>
      </c>
      <c r="AS69" s="1">
        <v>1</v>
      </c>
      <c r="AT69" s="23">
        <v>-9.65</v>
      </c>
      <c r="AU69" s="20">
        <v>17.11</v>
      </c>
      <c r="AV69" s="35">
        <v>6</v>
      </c>
      <c r="AW69" s="36">
        <v>-0.23500000000000001</v>
      </c>
      <c r="AX69" s="1">
        <v>5</v>
      </c>
      <c r="AY69" s="36">
        <v>-0.68200000000000005</v>
      </c>
      <c r="AZ69" s="20">
        <v>49.98</v>
      </c>
      <c r="BA69" s="20">
        <v>16.37</v>
      </c>
      <c r="BB69" s="36">
        <v>-0.13900000000000001</v>
      </c>
      <c r="BC69" s="36">
        <v>2.448</v>
      </c>
      <c r="BD69" s="20">
        <v>50.53</v>
      </c>
      <c r="BE69" s="33">
        <f t="shared" si="57"/>
        <v>6.6929133858267723E-2</v>
      </c>
      <c r="BF69" s="37">
        <f t="shared" si="58"/>
        <v>0.90118577075098816</v>
      </c>
      <c r="BG69" s="35">
        <f t="shared" si="59"/>
        <v>968.11490460925586</v>
      </c>
      <c r="BH69" s="33">
        <f t="shared" si="60"/>
        <v>-3.188509539074412E-2</v>
      </c>
      <c r="BI69" s="38">
        <f t="shared" si="61"/>
        <v>1.7895364749640337</v>
      </c>
      <c r="BJ69" s="38">
        <f t="shared" si="62"/>
        <v>2.6316712867118142</v>
      </c>
      <c r="BK69" s="32">
        <f t="shared" si="63"/>
        <v>26.737780272992033</v>
      </c>
      <c r="BL69" s="32">
        <f t="shared" si="64"/>
        <v>26.632513421523562</v>
      </c>
      <c r="BM69" s="32">
        <f t="shared" si="65"/>
        <v>50.738622407803781</v>
      </c>
      <c r="BN69" s="32">
        <f t="shared" si="66"/>
        <v>51.054422962209195</v>
      </c>
      <c r="BO69" s="32">
        <f t="shared" si="67"/>
        <v>-0.31580055440541344</v>
      </c>
      <c r="BP69" s="20">
        <v>17</v>
      </c>
      <c r="BQ69" s="20">
        <v>25</v>
      </c>
      <c r="BR69" s="35">
        <v>237</v>
      </c>
      <c r="BS69" s="35">
        <v>228</v>
      </c>
      <c r="BT69" s="20">
        <v>95</v>
      </c>
      <c r="BU69" s="20">
        <v>90</v>
      </c>
      <c r="BV69" s="20">
        <v>133</v>
      </c>
      <c r="BW69" s="20">
        <v>142</v>
      </c>
      <c r="BX69" s="20">
        <v>209</v>
      </c>
      <c r="BY69" s="20">
        <v>230</v>
      </c>
      <c r="BZ69" s="33">
        <f t="shared" si="68"/>
        <v>0.47608200455580868</v>
      </c>
      <c r="CA69" s="23">
        <v>-0.69</v>
      </c>
      <c r="CB69" s="39">
        <f t="shared" si="69"/>
        <v>-1.2187976725610348</v>
      </c>
      <c r="CC69" s="38">
        <f t="shared" si="70"/>
        <v>2.2022972549437929</v>
      </c>
      <c r="CD69" s="38">
        <f t="shared" si="71"/>
        <v>2.4981282294884815</v>
      </c>
      <c r="CE69" s="32">
        <f t="shared" si="72"/>
        <v>28.859955072248507</v>
      </c>
      <c r="CF69" s="32">
        <f t="shared" si="73"/>
        <v>29.681707779317087</v>
      </c>
      <c r="CG69" s="32">
        <f t="shared" si="74"/>
        <v>54.367159099657208</v>
      </c>
      <c r="CH69" s="32">
        <f t="shared" si="75"/>
        <v>54.465769424505439</v>
      </c>
      <c r="CI69" s="32">
        <f t="shared" si="76"/>
        <v>-0.21719022955718259</v>
      </c>
      <c r="CJ69">
        <v>1825.366667</v>
      </c>
      <c r="CK69">
        <v>67</v>
      </c>
      <c r="CL69">
        <v>76</v>
      </c>
      <c r="CM69" s="35">
        <v>811</v>
      </c>
      <c r="CN69">
        <v>827</v>
      </c>
      <c r="CO69">
        <v>324</v>
      </c>
      <c r="CP69">
        <v>315</v>
      </c>
      <c r="CQ69">
        <v>452</v>
      </c>
      <c r="CR69">
        <v>439</v>
      </c>
      <c r="CS69" s="20">
        <v>5</v>
      </c>
      <c r="CT69" s="20">
        <v>5</v>
      </c>
      <c r="CU69" s="35">
        <f t="shared" si="77"/>
        <v>0</v>
      </c>
      <c r="CV69" s="38">
        <f t="shared" si="78"/>
        <v>0.52002080083203317</v>
      </c>
      <c r="CW69" s="38">
        <f t="shared" si="79"/>
        <v>0.52002080083203317</v>
      </c>
      <c r="CX69" s="38">
        <f t="shared" si="80"/>
        <v>0</v>
      </c>
      <c r="CY69" s="40">
        <v>19.010000000000002</v>
      </c>
      <c r="CZ69" s="40">
        <v>21.35</v>
      </c>
      <c r="DA69" s="40">
        <v>35.74</v>
      </c>
      <c r="DB69" s="40">
        <v>26.78</v>
      </c>
      <c r="DC69" s="40">
        <v>20.62</v>
      </c>
      <c r="DD69" s="40">
        <v>22.77</v>
      </c>
      <c r="DE69">
        <v>0</v>
      </c>
      <c r="DF69">
        <v>0</v>
      </c>
      <c r="DG69" s="33" t="str">
        <f t="shared" si="81"/>
        <v xml:space="preserve"> </v>
      </c>
      <c r="DH69">
        <v>0</v>
      </c>
      <c r="DI69">
        <v>0</v>
      </c>
      <c r="DJ69">
        <v>0</v>
      </c>
      <c r="DK69">
        <v>0</v>
      </c>
      <c r="DL69">
        <v>0</v>
      </c>
      <c r="DM69" s="1" t="s">
        <v>421</v>
      </c>
      <c r="DN69" t="s">
        <v>422</v>
      </c>
    </row>
    <row r="70" spans="1:118" x14ac:dyDescent="0.25">
      <c r="A70" t="s">
        <v>423</v>
      </c>
      <c r="B70" t="s">
        <v>424</v>
      </c>
      <c r="C70" s="1" t="s">
        <v>259</v>
      </c>
      <c r="D70" s="2" t="s">
        <v>142</v>
      </c>
      <c r="E70">
        <v>33</v>
      </c>
      <c r="F70">
        <f>(7/33)</f>
        <v>0.21212121212121213</v>
      </c>
      <c r="G70" t="s">
        <v>544</v>
      </c>
      <c r="H70">
        <f>(12/33)</f>
        <v>0.36363636363636365</v>
      </c>
      <c r="I70">
        <v>1</v>
      </c>
      <c r="J70">
        <v>4</v>
      </c>
      <c r="K70" s="29">
        <f t="shared" si="41"/>
        <v>5</v>
      </c>
      <c r="L70" s="30">
        <f t="shared" si="42"/>
        <v>0.6207110590020346</v>
      </c>
      <c r="M70" s="20">
        <v>1</v>
      </c>
      <c r="N70" s="20">
        <v>1</v>
      </c>
      <c r="O70" s="20">
        <v>3</v>
      </c>
      <c r="P70" s="20">
        <v>35</v>
      </c>
      <c r="Q70" s="20">
        <v>5</v>
      </c>
      <c r="R70" s="20">
        <v>24</v>
      </c>
      <c r="S70" s="20">
        <v>17</v>
      </c>
      <c r="T70" s="31">
        <f t="shared" si="43"/>
        <v>2.8571428571428571E-2</v>
      </c>
      <c r="U70" s="31">
        <f t="shared" si="44"/>
        <v>1.5625E-2</v>
      </c>
      <c r="V70">
        <v>28999</v>
      </c>
      <c r="W70" s="32">
        <f t="shared" si="45"/>
        <v>14.645959595959596</v>
      </c>
      <c r="X70" s="23">
        <v>465.35</v>
      </c>
      <c r="Y70" s="32">
        <f t="shared" si="46"/>
        <v>14.101515151515152</v>
      </c>
      <c r="Z70" s="23">
        <v>1105.8</v>
      </c>
      <c r="AA70" s="32">
        <f t="shared" si="47"/>
        <v>33.509090909090908</v>
      </c>
      <c r="AB70" s="33">
        <f t="shared" si="48"/>
        <v>0.29618432358463548</v>
      </c>
      <c r="AC70" s="34">
        <f t="shared" si="49"/>
        <v>11.6</v>
      </c>
      <c r="AD70" s="20">
        <v>32</v>
      </c>
      <c r="AE70" s="20">
        <v>26</v>
      </c>
      <c r="AF70" s="20">
        <v>45</v>
      </c>
      <c r="AG70" s="20">
        <v>7</v>
      </c>
      <c r="AH70" s="20">
        <v>8</v>
      </c>
      <c r="AI70" s="31">
        <f t="shared" si="50"/>
        <v>0.05</v>
      </c>
      <c r="AJ70" s="31">
        <f t="shared" si="51"/>
        <v>0.2</v>
      </c>
      <c r="AK70" s="31">
        <f t="shared" si="52"/>
        <v>0.25</v>
      </c>
      <c r="AL70" s="20">
        <v>134</v>
      </c>
      <c r="AM70" s="33">
        <f t="shared" si="53"/>
        <v>0.31235431235431238</v>
      </c>
      <c r="AN70" s="20">
        <v>141</v>
      </c>
      <c r="AO70" s="33">
        <f t="shared" si="54"/>
        <v>0.32867132867132864</v>
      </c>
      <c r="AP70" s="20">
        <v>154</v>
      </c>
      <c r="AQ70" s="33">
        <f t="shared" si="55"/>
        <v>0.35897435897435898</v>
      </c>
      <c r="AR70" s="33">
        <f t="shared" si="56"/>
        <v>0.48727272727272725</v>
      </c>
      <c r="AS70" s="1">
        <v>4</v>
      </c>
      <c r="AT70" s="23">
        <v>4.1900000000000004</v>
      </c>
      <c r="AU70" s="20">
        <v>16.73</v>
      </c>
      <c r="AV70" s="35">
        <v>9</v>
      </c>
      <c r="AW70" s="36">
        <v>-0.32200000000000001</v>
      </c>
      <c r="AX70" s="1">
        <v>8</v>
      </c>
      <c r="AY70" s="36">
        <v>0.65900000000000003</v>
      </c>
      <c r="AZ70" s="20">
        <v>50.44</v>
      </c>
      <c r="BA70" s="20">
        <v>16.07</v>
      </c>
      <c r="BB70" s="36">
        <v>-3.3079999999999998</v>
      </c>
      <c r="BC70" s="36">
        <v>-3.7130000000000001</v>
      </c>
      <c r="BD70" s="20">
        <v>48.54</v>
      </c>
      <c r="BE70" s="33">
        <f t="shared" si="57"/>
        <v>8.6206896551724144E-2</v>
      </c>
      <c r="BF70" s="37">
        <f t="shared" si="58"/>
        <v>0.90476190476190477</v>
      </c>
      <c r="BG70" s="35">
        <f t="shared" si="59"/>
        <v>990.968801313629</v>
      </c>
      <c r="BH70" s="33">
        <f t="shared" si="60"/>
        <v>-9.0311986863710891E-3</v>
      </c>
      <c r="BI70" s="38">
        <f t="shared" si="61"/>
        <v>2.5787042011389274</v>
      </c>
      <c r="BJ70" s="38">
        <f t="shared" si="62"/>
        <v>3.0944450413667131</v>
      </c>
      <c r="BK70" s="32">
        <f t="shared" si="63"/>
        <v>29.91296873321156</v>
      </c>
      <c r="BL70" s="32">
        <f t="shared" si="64"/>
        <v>32.49167293435049</v>
      </c>
      <c r="BM70" s="32">
        <f t="shared" si="65"/>
        <v>51.445148812721598</v>
      </c>
      <c r="BN70" s="32">
        <f t="shared" si="66"/>
        <v>57.376168475341139</v>
      </c>
      <c r="BO70" s="32">
        <f t="shared" si="67"/>
        <v>-5.9310196626195406</v>
      </c>
      <c r="BP70" s="20">
        <v>20</v>
      </c>
      <c r="BQ70" s="20">
        <v>24</v>
      </c>
      <c r="BR70" s="35">
        <v>212</v>
      </c>
      <c r="BS70" s="35">
        <v>228</v>
      </c>
      <c r="BT70" s="20">
        <v>72</v>
      </c>
      <c r="BU70" s="20">
        <v>92</v>
      </c>
      <c r="BV70" s="20">
        <v>95</v>
      </c>
      <c r="BW70" s="20">
        <v>101</v>
      </c>
      <c r="BX70" s="20">
        <v>220</v>
      </c>
      <c r="BY70" s="20">
        <v>221</v>
      </c>
      <c r="BZ70" s="33">
        <f t="shared" si="68"/>
        <v>0.49886621315192742</v>
      </c>
      <c r="CA70" s="23">
        <v>0.68</v>
      </c>
      <c r="CB70" s="39">
        <f t="shared" si="69"/>
        <v>-1.343565117164994</v>
      </c>
      <c r="CC70" s="38">
        <f t="shared" si="70"/>
        <v>2.588640857257047</v>
      </c>
      <c r="CD70" s="38">
        <f t="shared" si="71"/>
        <v>2.3221631219511747</v>
      </c>
      <c r="CE70" s="32">
        <f t="shared" si="72"/>
        <v>30.606871312274496</v>
      </c>
      <c r="CF70" s="32">
        <f t="shared" si="73"/>
        <v>30.683007808076177</v>
      </c>
      <c r="CG70" s="32">
        <f t="shared" si="74"/>
        <v>53.980775523389603</v>
      </c>
      <c r="CH70" s="32">
        <f t="shared" si="75"/>
        <v>56.645552876448328</v>
      </c>
      <c r="CI70" s="32">
        <f t="shared" si="76"/>
        <v>-3.2662423095608162</v>
      </c>
      <c r="CJ70">
        <v>1576.116667</v>
      </c>
      <c r="CK70">
        <v>68</v>
      </c>
      <c r="CL70">
        <v>61</v>
      </c>
      <c r="CM70" s="35">
        <v>736</v>
      </c>
      <c r="CN70">
        <v>745</v>
      </c>
      <c r="CO70">
        <v>278</v>
      </c>
      <c r="CP70">
        <v>327</v>
      </c>
      <c r="CQ70">
        <v>336</v>
      </c>
      <c r="CR70">
        <v>355</v>
      </c>
      <c r="CS70" s="20">
        <v>1</v>
      </c>
      <c r="CT70" s="20">
        <v>2</v>
      </c>
      <c r="CU70" s="35">
        <f t="shared" si="77"/>
        <v>1</v>
      </c>
      <c r="CV70" s="38">
        <f t="shared" si="78"/>
        <v>0.12414221180040692</v>
      </c>
      <c r="CW70" s="38">
        <f t="shared" si="79"/>
        <v>0.24828442360081385</v>
      </c>
      <c r="CX70" s="38">
        <f t="shared" si="80"/>
        <v>0.12414221180040692</v>
      </c>
      <c r="CY70" s="40">
        <v>19.21</v>
      </c>
      <c r="CZ70" s="40">
        <v>17.88</v>
      </c>
      <c r="DA70" s="40">
        <v>19.3</v>
      </c>
      <c r="DB70" s="40">
        <v>17.690000000000001</v>
      </c>
      <c r="DC70" s="40">
        <v>15.33</v>
      </c>
      <c r="DD70" s="40">
        <v>19.97</v>
      </c>
      <c r="DE70">
        <v>0</v>
      </c>
      <c r="DF70">
        <v>0</v>
      </c>
      <c r="DG70" s="33" t="str">
        <f t="shared" si="81"/>
        <v xml:space="preserve"> </v>
      </c>
      <c r="DH70">
        <v>0</v>
      </c>
      <c r="DI70">
        <v>0</v>
      </c>
      <c r="DJ70">
        <v>0</v>
      </c>
      <c r="DK70">
        <v>0</v>
      </c>
      <c r="DL70">
        <v>0</v>
      </c>
      <c r="DM70" s="1" t="s">
        <v>425</v>
      </c>
      <c r="DN70" t="s">
        <v>426</v>
      </c>
    </row>
    <row r="71" spans="1:118" x14ac:dyDescent="0.25">
      <c r="A71" t="s">
        <v>427</v>
      </c>
      <c r="B71" t="s">
        <v>428</v>
      </c>
      <c r="C71" s="1" t="s">
        <v>259</v>
      </c>
      <c r="D71" s="2" t="s">
        <v>321</v>
      </c>
      <c r="E71">
        <v>27</v>
      </c>
      <c r="F71">
        <f>(6/27)</f>
        <v>0.22222222222222221</v>
      </c>
      <c r="G71" t="s">
        <v>544</v>
      </c>
      <c r="H71">
        <f>(20/74)</f>
        <v>0.27027027027027029</v>
      </c>
      <c r="I71">
        <v>6</v>
      </c>
      <c r="J71">
        <v>0</v>
      </c>
      <c r="K71" s="29">
        <f t="shared" si="41"/>
        <v>6</v>
      </c>
      <c r="L71" s="30">
        <f t="shared" si="42"/>
        <v>1.9109970804211274</v>
      </c>
      <c r="M71" s="20">
        <v>6</v>
      </c>
      <c r="N71" s="20">
        <v>0</v>
      </c>
      <c r="O71" s="20">
        <v>0</v>
      </c>
      <c r="P71" s="20">
        <v>12</v>
      </c>
      <c r="Q71" s="20">
        <v>2</v>
      </c>
      <c r="R71" s="20">
        <v>1</v>
      </c>
      <c r="S71" s="20">
        <v>15</v>
      </c>
      <c r="T71" s="31">
        <f t="shared" si="43"/>
        <v>0.5</v>
      </c>
      <c r="U71" s="31">
        <f t="shared" si="44"/>
        <v>0.4</v>
      </c>
      <c r="V71">
        <v>11303</v>
      </c>
      <c r="W71" s="32">
        <f t="shared" si="45"/>
        <v>6.9771604938271601</v>
      </c>
      <c r="X71" s="23">
        <v>190.32</v>
      </c>
      <c r="Y71" s="32">
        <f t="shared" si="46"/>
        <v>7.0488888888888885</v>
      </c>
      <c r="Z71" s="23">
        <v>1112.3</v>
      </c>
      <c r="AA71" s="32">
        <f t="shared" si="47"/>
        <v>41.196296296296296</v>
      </c>
      <c r="AB71" s="33">
        <f t="shared" si="48"/>
        <v>0.14610554114016366</v>
      </c>
      <c r="AC71" s="34">
        <f t="shared" si="49"/>
        <v>0</v>
      </c>
      <c r="AD71" s="20">
        <v>8</v>
      </c>
      <c r="AE71" s="20">
        <v>39</v>
      </c>
      <c r="AF71" s="20">
        <v>16</v>
      </c>
      <c r="AG71" s="20">
        <v>1</v>
      </c>
      <c r="AH71" s="20">
        <v>6</v>
      </c>
      <c r="AI71" s="31">
        <f t="shared" si="50"/>
        <v>0.66666666666666663</v>
      </c>
      <c r="AJ71" s="31">
        <f t="shared" si="51"/>
        <v>0</v>
      </c>
      <c r="AK71" s="31">
        <f t="shared" si="52"/>
        <v>0.66666666666666663</v>
      </c>
      <c r="AL71" s="20">
        <v>48</v>
      </c>
      <c r="AM71" s="33">
        <f t="shared" si="53"/>
        <v>0.32214765100671139</v>
      </c>
      <c r="AN71" s="20">
        <v>45</v>
      </c>
      <c r="AO71" s="33">
        <f t="shared" si="54"/>
        <v>0.30201342281879195</v>
      </c>
      <c r="AP71" s="20">
        <v>56</v>
      </c>
      <c r="AQ71" s="33">
        <f t="shared" si="55"/>
        <v>0.37583892617449666</v>
      </c>
      <c r="AR71" s="33">
        <f t="shared" si="56"/>
        <v>0.5161290322580645</v>
      </c>
      <c r="AS71" s="1">
        <v>11</v>
      </c>
      <c r="AT71" s="23">
        <v>3.03</v>
      </c>
      <c r="AU71" s="20">
        <v>16.39</v>
      </c>
      <c r="AV71" s="35">
        <v>16</v>
      </c>
      <c r="AW71" s="36">
        <v>-1.4929999999999999</v>
      </c>
      <c r="AX71" s="1">
        <v>16</v>
      </c>
      <c r="AY71" s="36">
        <v>-1.5230000000000001</v>
      </c>
      <c r="AZ71" s="20">
        <v>49.81</v>
      </c>
      <c r="BA71" s="20">
        <v>16.2</v>
      </c>
      <c r="BB71" s="36">
        <v>-8.0860000000000003</v>
      </c>
      <c r="BC71" s="36">
        <v>-7.4589999999999996</v>
      </c>
      <c r="BD71" s="20">
        <v>47.38</v>
      </c>
      <c r="BE71" s="33">
        <f t="shared" si="57"/>
        <v>0.13636363636363635</v>
      </c>
      <c r="BF71" s="37">
        <f t="shared" si="58"/>
        <v>0.89523809523809528</v>
      </c>
      <c r="BG71" s="35">
        <f t="shared" si="59"/>
        <v>1031.6017316017317</v>
      </c>
      <c r="BH71" s="33">
        <f t="shared" si="60"/>
        <v>3.1601731601731631E-2</v>
      </c>
      <c r="BI71" s="38">
        <f t="shared" si="61"/>
        <v>2.8373266078184112</v>
      </c>
      <c r="BJ71" s="38">
        <f t="shared" si="62"/>
        <v>3.4678436317780581</v>
      </c>
      <c r="BK71" s="32">
        <f t="shared" si="63"/>
        <v>20.807061790668349</v>
      </c>
      <c r="BL71" s="32">
        <f t="shared" si="64"/>
        <v>33.102143757881464</v>
      </c>
      <c r="BM71" s="32">
        <f t="shared" si="65"/>
        <v>39.092055485498108</v>
      </c>
      <c r="BN71" s="32">
        <f t="shared" si="66"/>
        <v>59.268600252206816</v>
      </c>
      <c r="BO71" s="32">
        <f t="shared" si="67"/>
        <v>-20.176544766708709</v>
      </c>
      <c r="BP71" s="20">
        <v>9</v>
      </c>
      <c r="BQ71" s="20">
        <v>11</v>
      </c>
      <c r="BR71" s="35">
        <v>57</v>
      </c>
      <c r="BS71" s="35">
        <v>94</v>
      </c>
      <c r="BT71" s="20">
        <v>24</v>
      </c>
      <c r="BU71" s="20">
        <v>37</v>
      </c>
      <c r="BV71" s="20">
        <v>34</v>
      </c>
      <c r="BW71" s="20">
        <v>46</v>
      </c>
      <c r="BX71" s="20">
        <v>66</v>
      </c>
      <c r="BY71" s="20">
        <v>90</v>
      </c>
      <c r="BZ71" s="33">
        <f t="shared" si="68"/>
        <v>0.42307692307692307</v>
      </c>
      <c r="CA71" s="23">
        <v>-7.39</v>
      </c>
      <c r="CB71" s="39">
        <f t="shared" si="69"/>
        <v>-14.717641540902257</v>
      </c>
      <c r="CC71" s="38">
        <f t="shared" si="70"/>
        <v>2.3890044544695583</v>
      </c>
      <c r="CD71" s="38">
        <f t="shared" si="71"/>
        <v>2.2511772744040064</v>
      </c>
      <c r="CE71" s="32">
        <f t="shared" si="72"/>
        <v>29.77067089415911</v>
      </c>
      <c r="CF71" s="32">
        <f t="shared" si="73"/>
        <v>29.311246960607271</v>
      </c>
      <c r="CG71" s="32">
        <f t="shared" si="74"/>
        <v>53.798542618920237</v>
      </c>
      <c r="CH71" s="32">
        <f t="shared" si="75"/>
        <v>56.371316646810534</v>
      </c>
      <c r="CI71" s="32">
        <f t="shared" si="76"/>
        <v>-17.603770738818412</v>
      </c>
      <c r="CJ71">
        <v>1305.9833329999999</v>
      </c>
      <c r="CK71">
        <v>52</v>
      </c>
      <c r="CL71">
        <v>49</v>
      </c>
      <c r="CM71" s="35">
        <v>596</v>
      </c>
      <c r="CN71">
        <v>589</v>
      </c>
      <c r="CO71">
        <v>228</v>
      </c>
      <c r="CP71">
        <v>261</v>
      </c>
      <c r="CQ71">
        <v>295</v>
      </c>
      <c r="CR71">
        <v>328</v>
      </c>
      <c r="CS71" s="20">
        <v>4</v>
      </c>
      <c r="CT71" s="20">
        <v>2</v>
      </c>
      <c r="CU71" s="35">
        <f t="shared" si="77"/>
        <v>-2</v>
      </c>
      <c r="CV71" s="38">
        <f t="shared" si="78"/>
        <v>1.2739980536140849</v>
      </c>
      <c r="CW71" s="38">
        <f t="shared" si="79"/>
        <v>0.63699902680704246</v>
      </c>
      <c r="CX71" s="38">
        <f t="shared" si="80"/>
        <v>-0.63699902680704246</v>
      </c>
      <c r="CY71" s="40">
        <v>5.55</v>
      </c>
      <c r="CZ71" s="40">
        <v>7.82</v>
      </c>
      <c r="DA71" s="40">
        <v>8.5399999999999991</v>
      </c>
      <c r="DB71" s="40">
        <v>5.49</v>
      </c>
      <c r="DC71" s="40">
        <v>6.06</v>
      </c>
      <c r="DD71" s="40">
        <v>7.27</v>
      </c>
      <c r="DE71">
        <v>0</v>
      </c>
      <c r="DF71">
        <v>0</v>
      </c>
      <c r="DG71" s="33" t="str">
        <f t="shared" si="81"/>
        <v xml:space="preserve"> </v>
      </c>
      <c r="DH71">
        <v>0</v>
      </c>
      <c r="DI71">
        <v>0</v>
      </c>
      <c r="DJ71">
        <v>0</v>
      </c>
      <c r="DK71">
        <v>0</v>
      </c>
      <c r="DL71">
        <v>0</v>
      </c>
      <c r="DM71" s="1" t="s">
        <v>429</v>
      </c>
      <c r="DN71" t="s">
        <v>430</v>
      </c>
    </row>
    <row r="72" spans="1:118" x14ac:dyDescent="0.25">
      <c r="A72" t="s">
        <v>431</v>
      </c>
      <c r="B72" t="s">
        <v>432</v>
      </c>
      <c r="C72" s="1" t="s">
        <v>268</v>
      </c>
      <c r="D72" s="2" t="s">
        <v>131</v>
      </c>
      <c r="E72">
        <v>24</v>
      </c>
      <c r="F72">
        <f>(6/24)</f>
        <v>0.25</v>
      </c>
      <c r="G72" t="s">
        <v>544</v>
      </c>
      <c r="H72">
        <f>(41/55)</f>
        <v>0.74545454545454548</v>
      </c>
      <c r="I72">
        <v>5</v>
      </c>
      <c r="J72">
        <v>1</v>
      </c>
      <c r="K72" s="29">
        <f t="shared" si="41"/>
        <v>6</v>
      </c>
      <c r="L72" s="30">
        <f t="shared" si="42"/>
        <v>1.5242396443440829</v>
      </c>
      <c r="M72" s="20">
        <v>3</v>
      </c>
      <c r="N72" s="20">
        <v>1</v>
      </c>
      <c r="O72" s="20">
        <v>0</v>
      </c>
      <c r="P72" s="20">
        <v>30</v>
      </c>
      <c r="Q72" s="20">
        <v>9</v>
      </c>
      <c r="R72" s="20">
        <v>8</v>
      </c>
      <c r="S72" s="20">
        <v>28</v>
      </c>
      <c r="T72" s="31">
        <f t="shared" si="43"/>
        <v>0.16666666666666666</v>
      </c>
      <c r="U72" s="31">
        <f t="shared" si="44"/>
        <v>0.10638297872340426</v>
      </c>
      <c r="V72">
        <v>14171</v>
      </c>
      <c r="W72" s="32">
        <f t="shared" si="45"/>
        <v>9.8409722222222236</v>
      </c>
      <c r="X72" s="23">
        <v>236.15</v>
      </c>
      <c r="Y72" s="32">
        <f t="shared" si="46"/>
        <v>9.8395833333333336</v>
      </c>
      <c r="Z72" s="23">
        <v>939.58</v>
      </c>
      <c r="AA72" s="32">
        <f t="shared" si="47"/>
        <v>39.149166666666666</v>
      </c>
      <c r="AB72" s="33">
        <f t="shared" si="48"/>
        <v>0.20085393755369008</v>
      </c>
      <c r="AC72" s="34">
        <f t="shared" si="49"/>
        <v>23.799999999999997</v>
      </c>
      <c r="AD72" s="20">
        <v>6</v>
      </c>
      <c r="AE72" s="20">
        <v>38</v>
      </c>
      <c r="AF72" s="20">
        <v>47</v>
      </c>
      <c r="AG72" s="20">
        <v>5</v>
      </c>
      <c r="AH72" s="20">
        <v>5</v>
      </c>
      <c r="AI72" s="31">
        <f t="shared" si="50"/>
        <v>0.6</v>
      </c>
      <c r="AJ72" s="31">
        <f t="shared" si="51"/>
        <v>0.2</v>
      </c>
      <c r="AK72" s="31">
        <f t="shared" si="52"/>
        <v>0.8</v>
      </c>
      <c r="AL72" s="20">
        <v>57</v>
      </c>
      <c r="AM72" s="33">
        <f t="shared" si="53"/>
        <v>0.29230769230769232</v>
      </c>
      <c r="AN72" s="20">
        <v>49</v>
      </c>
      <c r="AO72" s="33">
        <f t="shared" si="54"/>
        <v>0.25128205128205128</v>
      </c>
      <c r="AP72" s="20">
        <v>89</v>
      </c>
      <c r="AQ72" s="33">
        <f t="shared" si="55"/>
        <v>0.4564102564102564</v>
      </c>
      <c r="AR72" s="33">
        <f t="shared" si="56"/>
        <v>0.53773584905660377</v>
      </c>
      <c r="AS72" s="1">
        <v>9</v>
      </c>
      <c r="AT72" s="23">
        <v>2.34</v>
      </c>
      <c r="AU72" s="20">
        <v>16.78</v>
      </c>
      <c r="AV72" s="35">
        <v>13</v>
      </c>
      <c r="AW72" s="36">
        <v>-0.21299999999999999</v>
      </c>
      <c r="AX72" s="1">
        <v>14</v>
      </c>
      <c r="AY72" s="36">
        <v>-1.919</v>
      </c>
      <c r="AZ72" s="20">
        <v>49.36</v>
      </c>
      <c r="BA72" s="20">
        <v>16.79</v>
      </c>
      <c r="BB72" s="36">
        <v>0.55600000000000005</v>
      </c>
      <c r="BC72" s="36">
        <v>7.0659999999999998</v>
      </c>
      <c r="BD72" s="20">
        <v>51.85</v>
      </c>
      <c r="BE72" s="33">
        <f t="shared" si="57"/>
        <v>4.2016806722689079E-2</v>
      </c>
      <c r="BF72" s="37">
        <f t="shared" si="58"/>
        <v>0.93548387096774188</v>
      </c>
      <c r="BG72" s="35">
        <f t="shared" si="59"/>
        <v>977.50067769043096</v>
      </c>
      <c r="BH72" s="33">
        <f t="shared" si="60"/>
        <v>-2.2499322309569039E-2</v>
      </c>
      <c r="BI72" s="38">
        <f t="shared" si="61"/>
        <v>1.2703789964005927</v>
      </c>
      <c r="BJ72" s="38">
        <f t="shared" si="62"/>
        <v>1.5244547956807115</v>
      </c>
      <c r="BK72" s="32">
        <f t="shared" si="63"/>
        <v>30.235020114334105</v>
      </c>
      <c r="BL72" s="32">
        <f t="shared" si="64"/>
        <v>23.629049333051025</v>
      </c>
      <c r="BM72" s="32">
        <f t="shared" si="65"/>
        <v>53.864069447385134</v>
      </c>
      <c r="BN72" s="32">
        <f t="shared" si="66"/>
        <v>45.733643870421339</v>
      </c>
      <c r="BO72" s="32">
        <f t="shared" si="67"/>
        <v>8.1304255769637948</v>
      </c>
      <c r="BP72" s="20">
        <v>5</v>
      </c>
      <c r="BQ72" s="20">
        <v>6</v>
      </c>
      <c r="BR72" s="35">
        <v>114</v>
      </c>
      <c r="BS72" s="35">
        <v>87</v>
      </c>
      <c r="BT72" s="20">
        <v>38</v>
      </c>
      <c r="BU72" s="20">
        <v>35</v>
      </c>
      <c r="BV72" s="20">
        <v>55</v>
      </c>
      <c r="BW72" s="20">
        <v>52</v>
      </c>
      <c r="BX72" s="20">
        <v>108</v>
      </c>
      <c r="BY72" s="20">
        <v>82</v>
      </c>
      <c r="BZ72" s="33">
        <f t="shared" si="68"/>
        <v>0.56842105263157894</v>
      </c>
      <c r="CA72" s="23">
        <v>1.22</v>
      </c>
      <c r="CB72" s="39">
        <f t="shared" si="69"/>
        <v>-1.8502348003946949</v>
      </c>
      <c r="CC72" s="38">
        <f t="shared" si="70"/>
        <v>2.6008612881348765</v>
      </c>
      <c r="CD72" s="38">
        <f t="shared" si="71"/>
        <v>1.9888939262207881</v>
      </c>
      <c r="CE72" s="32">
        <f t="shared" si="72"/>
        <v>31.771305539373099</v>
      </c>
      <c r="CF72" s="32">
        <f t="shared" si="73"/>
        <v>28.609474169483644</v>
      </c>
      <c r="CG72" s="32">
        <f t="shared" si="74"/>
        <v>57.830915700881377</v>
      </c>
      <c r="CH72" s="32">
        <f t="shared" si="75"/>
        <v>49.314369914243642</v>
      </c>
      <c r="CI72" s="32">
        <f t="shared" si="76"/>
        <v>-0.38612020967394045</v>
      </c>
      <c r="CJ72">
        <v>1176.5333330000001</v>
      </c>
      <c r="CK72">
        <v>51</v>
      </c>
      <c r="CL72">
        <v>39</v>
      </c>
      <c r="CM72" s="35">
        <v>572</v>
      </c>
      <c r="CN72">
        <v>522</v>
      </c>
      <c r="CO72">
        <v>224</v>
      </c>
      <c r="CP72">
        <v>179</v>
      </c>
      <c r="CQ72">
        <v>287</v>
      </c>
      <c r="CR72">
        <v>227</v>
      </c>
      <c r="CS72" s="20">
        <v>1</v>
      </c>
      <c r="CT72" s="20">
        <v>5</v>
      </c>
      <c r="CU72" s="35">
        <f t="shared" si="77"/>
        <v>4</v>
      </c>
      <c r="CV72" s="38">
        <f t="shared" si="78"/>
        <v>0.25403994072401381</v>
      </c>
      <c r="CW72" s="38">
        <f t="shared" si="79"/>
        <v>1.2701997036200692</v>
      </c>
      <c r="CX72" s="38">
        <f t="shared" si="80"/>
        <v>1.0161597628960553</v>
      </c>
      <c r="CY72" s="40">
        <v>9.9499999999999993</v>
      </c>
      <c r="CZ72" s="40">
        <v>6.99</v>
      </c>
      <c r="DA72" s="40">
        <v>7</v>
      </c>
      <c r="DB72" s="40">
        <v>5.0599999999999996</v>
      </c>
      <c r="DC72" s="40">
        <v>8.57</v>
      </c>
      <c r="DD72" s="40">
        <v>7.25</v>
      </c>
      <c r="DE72">
        <v>0</v>
      </c>
      <c r="DF72">
        <v>0</v>
      </c>
      <c r="DG72" s="33" t="str">
        <f t="shared" si="81"/>
        <v xml:space="preserve"> </v>
      </c>
      <c r="DH72">
        <v>0</v>
      </c>
      <c r="DI72">
        <v>0</v>
      </c>
      <c r="DJ72">
        <v>0</v>
      </c>
      <c r="DK72">
        <v>0</v>
      </c>
      <c r="DL72">
        <v>0</v>
      </c>
      <c r="DM72" s="1" t="s">
        <v>433</v>
      </c>
      <c r="DN72" t="s">
        <v>434</v>
      </c>
    </row>
    <row r="73" spans="1:118" x14ac:dyDescent="0.25">
      <c r="A73" t="s">
        <v>180</v>
      </c>
      <c r="B73" t="s">
        <v>435</v>
      </c>
      <c r="C73" s="1" t="s">
        <v>250</v>
      </c>
      <c r="D73" s="2" t="s">
        <v>157</v>
      </c>
      <c r="E73">
        <v>34</v>
      </c>
      <c r="F73">
        <f>(6/34)</f>
        <v>0.17647058823529413</v>
      </c>
      <c r="G73" t="s">
        <v>544</v>
      </c>
      <c r="H73">
        <f>(42/76)</f>
        <v>0.55263157894736847</v>
      </c>
      <c r="I73">
        <v>4</v>
      </c>
      <c r="J73">
        <v>2</v>
      </c>
      <c r="K73" s="29">
        <f t="shared" si="41"/>
        <v>6</v>
      </c>
      <c r="L73" s="30">
        <f t="shared" si="42"/>
        <v>1.2018027040560841</v>
      </c>
      <c r="M73" s="20">
        <v>4</v>
      </c>
      <c r="N73" s="20">
        <v>0</v>
      </c>
      <c r="O73" s="20">
        <v>2</v>
      </c>
      <c r="P73" s="20">
        <v>19</v>
      </c>
      <c r="Q73" s="20">
        <v>9</v>
      </c>
      <c r="R73" s="20">
        <v>9</v>
      </c>
      <c r="S73" s="20">
        <v>25</v>
      </c>
      <c r="T73" s="31">
        <f t="shared" si="43"/>
        <v>0.21052631578947367</v>
      </c>
      <c r="U73" s="31">
        <f t="shared" si="44"/>
        <v>0.10810810810810811</v>
      </c>
      <c r="V73">
        <v>17973</v>
      </c>
      <c r="W73" s="32">
        <f t="shared" si="45"/>
        <v>8.8102941176470591</v>
      </c>
      <c r="X73" s="23">
        <v>295.05</v>
      </c>
      <c r="Y73" s="32">
        <f t="shared" si="46"/>
        <v>8.677941176470588</v>
      </c>
      <c r="Z73" s="23">
        <v>1332.75</v>
      </c>
      <c r="AA73" s="32">
        <f t="shared" si="47"/>
        <v>39.198529411764703</v>
      </c>
      <c r="AB73" s="33">
        <f t="shared" si="48"/>
        <v>0.18125691116844822</v>
      </c>
      <c r="AC73" s="34">
        <f t="shared" si="49"/>
        <v>0</v>
      </c>
      <c r="AD73" s="20">
        <v>18</v>
      </c>
      <c r="AE73" s="20">
        <v>34</v>
      </c>
      <c r="AF73" s="20">
        <v>20</v>
      </c>
      <c r="AG73" s="20">
        <v>4</v>
      </c>
      <c r="AH73" s="20">
        <v>5</v>
      </c>
      <c r="AI73" s="31">
        <f t="shared" si="50"/>
        <v>0.30769230769230771</v>
      </c>
      <c r="AJ73" s="31">
        <f t="shared" si="51"/>
        <v>0.15384615384615385</v>
      </c>
      <c r="AK73" s="31">
        <f t="shared" si="52"/>
        <v>0.46153846153846156</v>
      </c>
      <c r="AL73" s="20">
        <v>52</v>
      </c>
      <c r="AM73" s="33">
        <f t="shared" si="53"/>
        <v>0.20472440944881889</v>
      </c>
      <c r="AN73" s="20">
        <v>105</v>
      </c>
      <c r="AO73" s="33">
        <f t="shared" si="54"/>
        <v>0.41338582677165353</v>
      </c>
      <c r="AP73" s="20">
        <v>97</v>
      </c>
      <c r="AQ73" s="33">
        <f t="shared" si="55"/>
        <v>0.38188976377952755</v>
      </c>
      <c r="AR73" s="33">
        <f t="shared" si="56"/>
        <v>0.33121019108280253</v>
      </c>
      <c r="AS73" s="1">
        <v>6</v>
      </c>
      <c r="AT73" s="23">
        <v>-24.54</v>
      </c>
      <c r="AU73" s="20">
        <v>16.89</v>
      </c>
      <c r="AV73" s="35">
        <v>16</v>
      </c>
      <c r="AW73" s="36">
        <v>0.19900000000000001</v>
      </c>
      <c r="AX73" s="1">
        <v>14</v>
      </c>
      <c r="AY73" s="36">
        <v>-0.29399999999999998</v>
      </c>
      <c r="AZ73" s="20">
        <v>50.01</v>
      </c>
      <c r="BA73" s="20">
        <v>16.64</v>
      </c>
      <c r="BB73" s="36">
        <v>-3.2469999999999999</v>
      </c>
      <c r="BC73" s="36">
        <v>2.9590000000000001</v>
      </c>
      <c r="BD73" s="20">
        <v>51.05</v>
      </c>
      <c r="BE73" s="33">
        <f t="shared" si="57"/>
        <v>9.4890510948905105E-2</v>
      </c>
      <c r="BF73" s="37">
        <f t="shared" si="58"/>
        <v>0.92592592592592593</v>
      </c>
      <c r="BG73" s="35">
        <f t="shared" si="59"/>
        <v>1020.8164368748311</v>
      </c>
      <c r="BH73" s="33">
        <f t="shared" si="60"/>
        <v>2.0816436874831035E-2</v>
      </c>
      <c r="BI73" s="38">
        <f t="shared" si="61"/>
        <v>2.6436197254702591</v>
      </c>
      <c r="BJ73" s="38">
        <f t="shared" si="62"/>
        <v>1.6268429079816979</v>
      </c>
      <c r="BK73" s="32">
        <f t="shared" si="63"/>
        <v>27.859684799186574</v>
      </c>
      <c r="BL73" s="32">
        <f t="shared" si="64"/>
        <v>21.962379257752922</v>
      </c>
      <c r="BM73" s="32">
        <f t="shared" si="65"/>
        <v>54.092526690391459</v>
      </c>
      <c r="BN73" s="32">
        <f t="shared" si="66"/>
        <v>49.008642602948655</v>
      </c>
      <c r="BO73" s="32">
        <f t="shared" si="67"/>
        <v>5.0838840874428044</v>
      </c>
      <c r="BP73" s="20">
        <v>13</v>
      </c>
      <c r="BQ73" s="20">
        <v>8</v>
      </c>
      <c r="BR73" s="35">
        <v>124</v>
      </c>
      <c r="BS73" s="35">
        <v>100</v>
      </c>
      <c r="BT73" s="20">
        <v>53</v>
      </c>
      <c r="BU73" s="20">
        <v>48</v>
      </c>
      <c r="BV73" s="20">
        <v>76</v>
      </c>
      <c r="BW73" s="20">
        <v>85</v>
      </c>
      <c r="BX73" s="20">
        <v>125</v>
      </c>
      <c r="BY73" s="20">
        <v>87</v>
      </c>
      <c r="BZ73" s="33">
        <f t="shared" si="68"/>
        <v>0.589622641509434</v>
      </c>
      <c r="CA73" s="23">
        <v>3.32</v>
      </c>
      <c r="CB73" s="39">
        <f t="shared" si="69"/>
        <v>5.7918395014555433</v>
      </c>
      <c r="CC73" s="38">
        <f t="shared" si="70"/>
        <v>2.2433343548881397</v>
      </c>
      <c r="CD73" s="38">
        <f t="shared" si="71"/>
        <v>2.1697824088262334</v>
      </c>
      <c r="CE73" s="32">
        <f t="shared" si="72"/>
        <v>30.376953723567272</v>
      </c>
      <c r="CF73" s="32">
        <f t="shared" si="73"/>
        <v>25.89028501379099</v>
      </c>
      <c r="CG73" s="32">
        <f t="shared" si="74"/>
        <v>58.216365307998771</v>
      </c>
      <c r="CH73" s="32">
        <f t="shared" si="75"/>
        <v>49.095923996322405</v>
      </c>
      <c r="CI73" s="32">
        <f t="shared" si="76"/>
        <v>-4.0365572242335617</v>
      </c>
      <c r="CJ73">
        <v>1631.5</v>
      </c>
      <c r="CK73">
        <v>61</v>
      </c>
      <c r="CL73">
        <v>59</v>
      </c>
      <c r="CM73" s="35">
        <v>765</v>
      </c>
      <c r="CN73">
        <v>645</v>
      </c>
      <c r="CO73">
        <v>347</v>
      </c>
      <c r="CP73">
        <v>242</v>
      </c>
      <c r="CQ73">
        <v>410</v>
      </c>
      <c r="CR73">
        <v>389</v>
      </c>
      <c r="CS73" s="20">
        <v>1</v>
      </c>
      <c r="CT73" s="20">
        <v>1</v>
      </c>
      <c r="CU73" s="35">
        <f t="shared" si="77"/>
        <v>0</v>
      </c>
      <c r="CV73" s="38">
        <f t="shared" si="78"/>
        <v>0.20030045067601401</v>
      </c>
      <c r="CW73" s="38">
        <f t="shared" si="79"/>
        <v>0.20030045067601401</v>
      </c>
      <c r="CX73" s="38">
        <f t="shared" si="80"/>
        <v>0</v>
      </c>
      <c r="CY73" s="40">
        <v>10.35</v>
      </c>
      <c r="CZ73" s="40">
        <v>7.74</v>
      </c>
      <c r="DA73" s="40">
        <v>7.04</v>
      </c>
      <c r="DB73" s="40">
        <v>8.99</v>
      </c>
      <c r="DC73" s="40">
        <v>11.99</v>
      </c>
      <c r="DD73" s="40">
        <v>12.06</v>
      </c>
      <c r="DE73">
        <v>128</v>
      </c>
      <c r="DF73">
        <v>101</v>
      </c>
      <c r="DG73" s="33">
        <f t="shared" si="81"/>
        <v>0.55895196506550215</v>
      </c>
      <c r="DH73">
        <v>0.23</v>
      </c>
      <c r="DI73">
        <v>-4.78</v>
      </c>
      <c r="DJ73">
        <v>50</v>
      </c>
      <c r="DK73">
        <v>92</v>
      </c>
      <c r="DL73">
        <v>84</v>
      </c>
      <c r="DM73" s="1" t="s">
        <v>436</v>
      </c>
      <c r="DN73" t="s">
        <v>437</v>
      </c>
    </row>
    <row r="74" spans="1:118" x14ac:dyDescent="0.25">
      <c r="A74" t="s">
        <v>438</v>
      </c>
      <c r="B74" t="s">
        <v>439</v>
      </c>
      <c r="C74" s="1" t="s">
        <v>295</v>
      </c>
      <c r="D74" s="2" t="s">
        <v>125</v>
      </c>
      <c r="E74">
        <v>16</v>
      </c>
      <c r="F74">
        <f>(6/16)</f>
        <v>0.375</v>
      </c>
      <c r="G74" t="s">
        <v>538</v>
      </c>
      <c r="H74">
        <f>(54/37)</f>
        <v>1.4594594594594594</v>
      </c>
      <c r="I74">
        <v>4</v>
      </c>
      <c r="J74">
        <v>2</v>
      </c>
      <c r="K74" s="29">
        <f t="shared" si="41"/>
        <v>6</v>
      </c>
      <c r="L74" s="30">
        <f t="shared" si="42"/>
        <v>1.6312967298542405</v>
      </c>
      <c r="M74" s="20">
        <v>3</v>
      </c>
      <c r="N74" s="20">
        <v>0</v>
      </c>
      <c r="O74" s="20">
        <v>0</v>
      </c>
      <c r="P74" s="20">
        <v>29</v>
      </c>
      <c r="Q74" s="20">
        <v>18</v>
      </c>
      <c r="R74" s="20">
        <v>10</v>
      </c>
      <c r="S74" s="20">
        <v>42</v>
      </c>
      <c r="T74" s="31">
        <f t="shared" si="43"/>
        <v>0.13793103448275862</v>
      </c>
      <c r="U74" s="31">
        <f t="shared" si="44"/>
        <v>7.0175438596491224E-2</v>
      </c>
      <c r="V74">
        <v>13241</v>
      </c>
      <c r="W74" s="32">
        <f t="shared" si="45"/>
        <v>13.792708333333334</v>
      </c>
      <c r="X74" s="23">
        <v>203.16</v>
      </c>
      <c r="Y74" s="32">
        <f t="shared" si="46"/>
        <v>12.6975</v>
      </c>
      <c r="Z74" s="23">
        <v>560.83000000000004</v>
      </c>
      <c r="AA74" s="32">
        <f t="shared" si="47"/>
        <v>35.051875000000003</v>
      </c>
      <c r="AB74" s="33">
        <f t="shared" si="48"/>
        <v>0.26591971099098155</v>
      </c>
      <c r="AC74" s="34">
        <f t="shared" si="49"/>
        <v>0</v>
      </c>
      <c r="AD74" s="20">
        <v>5</v>
      </c>
      <c r="AE74" s="20">
        <v>29</v>
      </c>
      <c r="AF74" s="20">
        <v>45</v>
      </c>
      <c r="AG74" s="20">
        <v>2</v>
      </c>
      <c r="AH74" s="20">
        <v>6</v>
      </c>
      <c r="AI74" s="31">
        <f t="shared" si="50"/>
        <v>0.5</v>
      </c>
      <c r="AJ74" s="31">
        <f t="shared" si="51"/>
        <v>0</v>
      </c>
      <c r="AK74" s="31">
        <f t="shared" si="52"/>
        <v>0.5</v>
      </c>
      <c r="AL74" s="20">
        <v>89</v>
      </c>
      <c r="AM74" s="33">
        <f t="shared" si="53"/>
        <v>0.45177664974619292</v>
      </c>
      <c r="AN74" s="20">
        <v>51</v>
      </c>
      <c r="AO74" s="33">
        <f t="shared" si="54"/>
        <v>0.25888324873096447</v>
      </c>
      <c r="AP74" s="20">
        <v>57</v>
      </c>
      <c r="AQ74" s="33">
        <f t="shared" si="55"/>
        <v>0.28934010152284262</v>
      </c>
      <c r="AR74" s="33">
        <f t="shared" si="56"/>
        <v>0.63571428571428568</v>
      </c>
      <c r="AS74" s="1">
        <v>16</v>
      </c>
      <c r="AT74" s="23">
        <v>17.96</v>
      </c>
      <c r="AU74" s="20">
        <v>17.05</v>
      </c>
      <c r="AV74" s="35">
        <v>10</v>
      </c>
      <c r="AW74" s="36">
        <v>-0.14400000000000002</v>
      </c>
      <c r="AX74" s="1">
        <v>10</v>
      </c>
      <c r="AY74" s="36">
        <v>-1.024</v>
      </c>
      <c r="AZ74" s="20">
        <v>49.41</v>
      </c>
      <c r="BA74" s="20">
        <v>17.5</v>
      </c>
      <c r="BB74" s="36">
        <v>5.33</v>
      </c>
      <c r="BC74" s="36">
        <v>8.4760000000000009</v>
      </c>
      <c r="BD74" s="20">
        <v>52.88</v>
      </c>
      <c r="BE74" s="33">
        <f t="shared" si="57"/>
        <v>6.1224489795918366E-2</v>
      </c>
      <c r="BF74" s="37">
        <f t="shared" si="58"/>
        <v>0.92307692307692313</v>
      </c>
      <c r="BG74" s="35">
        <f t="shared" si="59"/>
        <v>984.30141287284141</v>
      </c>
      <c r="BH74" s="33">
        <f t="shared" si="60"/>
        <v>-1.5698587127158506E-2</v>
      </c>
      <c r="BI74" s="38">
        <f t="shared" si="61"/>
        <v>1.7720023626698169</v>
      </c>
      <c r="BJ74" s="38">
        <f t="shared" si="62"/>
        <v>2.0673360897814534</v>
      </c>
      <c r="BK74" s="32">
        <f t="shared" si="63"/>
        <v>28.942705256940343</v>
      </c>
      <c r="BL74" s="32">
        <f t="shared" si="64"/>
        <v>26.87536916715889</v>
      </c>
      <c r="BM74" s="32">
        <f t="shared" si="65"/>
        <v>62.906083874778496</v>
      </c>
      <c r="BN74" s="32">
        <f t="shared" si="66"/>
        <v>49.911399881866515</v>
      </c>
      <c r="BO74" s="32">
        <f t="shared" si="67"/>
        <v>12.99468399291198</v>
      </c>
      <c r="BP74" s="20">
        <v>6</v>
      </c>
      <c r="BQ74" s="20">
        <v>7</v>
      </c>
      <c r="BR74" s="35">
        <v>92</v>
      </c>
      <c r="BS74" s="35">
        <v>84</v>
      </c>
      <c r="BT74" s="20">
        <v>57</v>
      </c>
      <c r="BU74" s="20">
        <v>41</v>
      </c>
      <c r="BV74" s="20">
        <v>58</v>
      </c>
      <c r="BW74" s="20">
        <v>37</v>
      </c>
      <c r="BX74" s="20">
        <v>117</v>
      </c>
      <c r="BY74" s="20">
        <v>97</v>
      </c>
      <c r="BZ74" s="33">
        <f t="shared" si="68"/>
        <v>0.54672897196261683</v>
      </c>
      <c r="CA74" s="23">
        <v>2.87</v>
      </c>
      <c r="CB74" s="39">
        <f t="shared" si="69"/>
        <v>0.14754113576912431</v>
      </c>
      <c r="CC74" s="38">
        <f t="shared" si="70"/>
        <v>1.5764927422550385</v>
      </c>
      <c r="CD74" s="38">
        <f t="shared" si="71"/>
        <v>2.2070898391570539</v>
      </c>
      <c r="CE74" s="32">
        <f t="shared" si="72"/>
        <v>28.770992546154453</v>
      </c>
      <c r="CF74" s="32">
        <f t="shared" si="73"/>
        <v>28.534518634816195</v>
      </c>
      <c r="CG74" s="32">
        <f t="shared" si="74"/>
        <v>59.827899568578708</v>
      </c>
      <c r="CH74" s="32">
        <f t="shared" si="75"/>
        <v>53.206630051107545</v>
      </c>
      <c r="CI74" s="32">
        <f t="shared" si="76"/>
        <v>6.3734144754408177</v>
      </c>
      <c r="CJ74">
        <v>761.18333299999995</v>
      </c>
      <c r="CK74">
        <v>20</v>
      </c>
      <c r="CL74">
        <v>28</v>
      </c>
      <c r="CM74" s="35">
        <v>345</v>
      </c>
      <c r="CN74">
        <v>334</v>
      </c>
      <c r="CO74">
        <v>187</v>
      </c>
      <c r="CP74">
        <v>153</v>
      </c>
      <c r="CQ74">
        <v>207</v>
      </c>
      <c r="CR74">
        <v>160</v>
      </c>
      <c r="CS74" s="20">
        <v>2</v>
      </c>
      <c r="CT74" s="20">
        <v>6</v>
      </c>
      <c r="CU74" s="35">
        <f t="shared" si="77"/>
        <v>4</v>
      </c>
      <c r="CV74" s="38">
        <f t="shared" si="78"/>
        <v>0.54376557661808023</v>
      </c>
      <c r="CW74" s="38">
        <f t="shared" si="79"/>
        <v>1.6312967298542405</v>
      </c>
      <c r="CX74" s="38">
        <f t="shared" si="80"/>
        <v>1.0875311532361605</v>
      </c>
      <c r="CY74" s="40">
        <v>7.91</v>
      </c>
      <c r="CZ74" s="40">
        <v>8.26</v>
      </c>
      <c r="DA74" s="40">
        <v>9.5</v>
      </c>
      <c r="DB74" s="40">
        <v>6.18</v>
      </c>
      <c r="DC74" s="40">
        <v>7.76</v>
      </c>
      <c r="DD74" s="40">
        <v>9.06</v>
      </c>
      <c r="DE74">
        <v>1</v>
      </c>
      <c r="DF74">
        <v>2</v>
      </c>
      <c r="DG74" s="33">
        <f t="shared" si="81"/>
        <v>0.33333333333333331</v>
      </c>
      <c r="DH74">
        <v>-0.02</v>
      </c>
      <c r="DI74">
        <v>-0.73</v>
      </c>
      <c r="DJ74">
        <v>3</v>
      </c>
      <c r="DK74">
        <v>0</v>
      </c>
      <c r="DL74">
        <v>0</v>
      </c>
      <c r="DM74" s="1" t="s">
        <v>440</v>
      </c>
      <c r="DN74" t="s">
        <v>441</v>
      </c>
    </row>
    <row r="75" spans="1:118" x14ac:dyDescent="0.25">
      <c r="A75" t="s">
        <v>298</v>
      </c>
      <c r="B75" t="s">
        <v>442</v>
      </c>
      <c r="C75" s="1" t="s">
        <v>394</v>
      </c>
      <c r="D75" s="2" t="s">
        <v>157</v>
      </c>
      <c r="E75">
        <v>43</v>
      </c>
      <c r="F75">
        <f>(6/43)</f>
        <v>0.13953488372093023</v>
      </c>
      <c r="G75" t="s">
        <v>544</v>
      </c>
      <c r="H75">
        <f>(28/48)</f>
        <v>0.58333333333333337</v>
      </c>
      <c r="I75">
        <v>4</v>
      </c>
      <c r="J75">
        <v>2</v>
      </c>
      <c r="K75" s="29">
        <f t="shared" si="41"/>
        <v>6</v>
      </c>
      <c r="L75" s="30">
        <f t="shared" si="42"/>
        <v>0.97684515195369048</v>
      </c>
      <c r="M75" s="20">
        <v>4</v>
      </c>
      <c r="N75" s="20">
        <v>1</v>
      </c>
      <c r="O75" s="20">
        <v>1</v>
      </c>
      <c r="P75" s="20">
        <v>49</v>
      </c>
      <c r="Q75" s="20">
        <v>15</v>
      </c>
      <c r="R75" s="20">
        <v>17</v>
      </c>
      <c r="S75" s="20">
        <v>42</v>
      </c>
      <c r="T75" s="31">
        <f t="shared" si="43"/>
        <v>8.1632653061224483E-2</v>
      </c>
      <c r="U75" s="31">
        <f t="shared" si="44"/>
        <v>4.9382716049382713E-2</v>
      </c>
      <c r="V75">
        <v>22112</v>
      </c>
      <c r="W75" s="32">
        <f t="shared" si="45"/>
        <v>8.5705426356589136</v>
      </c>
      <c r="X75" s="23">
        <v>370.8</v>
      </c>
      <c r="Y75" s="32">
        <f t="shared" si="46"/>
        <v>8.6232558139534881</v>
      </c>
      <c r="Z75" s="23">
        <v>1648.5</v>
      </c>
      <c r="AA75" s="32">
        <f t="shared" si="47"/>
        <v>38.337209302325583</v>
      </c>
      <c r="AB75" s="33">
        <f t="shared" si="48"/>
        <v>0.18362798989748924</v>
      </c>
      <c r="AC75" s="34">
        <f t="shared" si="49"/>
        <v>20.571428571428569</v>
      </c>
      <c r="AD75" s="20">
        <v>24</v>
      </c>
      <c r="AE75" s="20">
        <v>92</v>
      </c>
      <c r="AF75" s="20">
        <v>49</v>
      </c>
      <c r="AG75" s="20">
        <v>10</v>
      </c>
      <c r="AH75" s="20">
        <v>3</v>
      </c>
      <c r="AI75" s="31">
        <f t="shared" si="50"/>
        <v>0.5714285714285714</v>
      </c>
      <c r="AJ75" s="31">
        <f t="shared" si="51"/>
        <v>0.2857142857142857</v>
      </c>
      <c r="AK75" s="31">
        <f t="shared" si="52"/>
        <v>0.8571428571428571</v>
      </c>
      <c r="AL75" s="20">
        <v>81</v>
      </c>
      <c r="AM75" s="33">
        <f t="shared" si="53"/>
        <v>0.25471698113207547</v>
      </c>
      <c r="AN75" s="20">
        <v>90</v>
      </c>
      <c r="AO75" s="33">
        <f t="shared" si="54"/>
        <v>0.28301886792452829</v>
      </c>
      <c r="AP75" s="20">
        <v>147</v>
      </c>
      <c r="AQ75" s="33">
        <f t="shared" si="55"/>
        <v>0.46226415094339623</v>
      </c>
      <c r="AR75" s="33">
        <f t="shared" si="56"/>
        <v>0.47368421052631576</v>
      </c>
      <c r="AS75" s="1">
        <v>6</v>
      </c>
      <c r="AT75" s="23">
        <v>-0.88</v>
      </c>
      <c r="AU75" s="20">
        <v>16.420000000000002</v>
      </c>
      <c r="AV75" s="35">
        <v>16</v>
      </c>
      <c r="AW75" s="36">
        <v>-1.135</v>
      </c>
      <c r="AX75" s="1">
        <v>16</v>
      </c>
      <c r="AY75" s="36">
        <v>-1.34</v>
      </c>
      <c r="AZ75" s="20">
        <v>49.65</v>
      </c>
      <c r="BA75" s="20">
        <v>16.39</v>
      </c>
      <c r="BB75" s="36">
        <v>-2.391</v>
      </c>
      <c r="BC75" s="36">
        <v>-7.3860000000000001</v>
      </c>
      <c r="BD75" s="20">
        <v>46.76</v>
      </c>
      <c r="BE75" s="33">
        <f t="shared" si="57"/>
        <v>4.8611111111111112E-2</v>
      </c>
      <c r="BF75" s="37">
        <f t="shared" si="58"/>
        <v>0.94610778443113774</v>
      </c>
      <c r="BG75" s="35">
        <f t="shared" si="59"/>
        <v>994.71889554224879</v>
      </c>
      <c r="BH75" s="33">
        <f t="shared" si="60"/>
        <v>-5.2811044577511443E-3</v>
      </c>
      <c r="BI75" s="38">
        <f t="shared" si="61"/>
        <v>1.1326860841423949</v>
      </c>
      <c r="BJ75" s="38">
        <f t="shared" si="62"/>
        <v>1.4563106796116505</v>
      </c>
      <c r="BK75" s="32">
        <f t="shared" si="63"/>
        <v>23.300970873786408</v>
      </c>
      <c r="BL75" s="32">
        <f t="shared" si="64"/>
        <v>27.022653721682847</v>
      </c>
      <c r="BM75" s="32">
        <f t="shared" si="65"/>
        <v>46.116504854368934</v>
      </c>
      <c r="BN75" s="32">
        <f t="shared" si="66"/>
        <v>54.207119741100321</v>
      </c>
      <c r="BO75" s="32">
        <f t="shared" si="67"/>
        <v>-8.0906148867313874</v>
      </c>
      <c r="BP75" s="20">
        <v>7</v>
      </c>
      <c r="BQ75" s="20">
        <v>9</v>
      </c>
      <c r="BR75" s="35">
        <v>137</v>
      </c>
      <c r="BS75" s="35">
        <v>158</v>
      </c>
      <c r="BT75" s="20">
        <v>63</v>
      </c>
      <c r="BU75" s="20">
        <v>75</v>
      </c>
      <c r="BV75" s="20">
        <v>78</v>
      </c>
      <c r="BW75" s="20">
        <v>93</v>
      </c>
      <c r="BX75" s="20">
        <v>126</v>
      </c>
      <c r="BY75" s="20">
        <v>142</v>
      </c>
      <c r="BZ75" s="33">
        <f t="shared" si="68"/>
        <v>0.47014925373134331</v>
      </c>
      <c r="CA75" s="23">
        <v>3.02</v>
      </c>
      <c r="CB75" s="39">
        <f t="shared" si="69"/>
        <v>-1.5030359393629666</v>
      </c>
      <c r="CC75" s="38">
        <f t="shared" si="70"/>
        <v>1.6305959086866291</v>
      </c>
      <c r="CD75" s="38">
        <f t="shared" si="71"/>
        <v>2.19389267714201</v>
      </c>
      <c r="CE75" s="32">
        <f t="shared" si="72"/>
        <v>26.563889712422174</v>
      </c>
      <c r="CF75" s="32">
        <f t="shared" si="73"/>
        <v>28.93566557960273</v>
      </c>
      <c r="CG75" s="32">
        <f t="shared" si="74"/>
        <v>48.739994070560336</v>
      </c>
      <c r="CH75" s="32">
        <f t="shared" si="75"/>
        <v>56.56685443225615</v>
      </c>
      <c r="CI75" s="32">
        <f t="shared" si="76"/>
        <v>-0.26375452503557284</v>
      </c>
      <c r="CJ75">
        <v>2023.8</v>
      </c>
      <c r="CK75">
        <v>55</v>
      </c>
      <c r="CL75">
        <v>74</v>
      </c>
      <c r="CM75" s="35">
        <v>841</v>
      </c>
      <c r="CN75">
        <v>902</v>
      </c>
      <c r="CO75">
        <v>343</v>
      </c>
      <c r="CP75">
        <v>435</v>
      </c>
      <c r="CQ75">
        <v>405</v>
      </c>
      <c r="CR75">
        <v>497</v>
      </c>
      <c r="CS75" s="20">
        <v>3</v>
      </c>
      <c r="CT75" s="20">
        <v>3</v>
      </c>
      <c r="CU75" s="35">
        <f t="shared" si="77"/>
        <v>0</v>
      </c>
      <c r="CV75" s="38">
        <f t="shared" si="78"/>
        <v>0.48842257597684524</v>
      </c>
      <c r="CW75" s="38">
        <f t="shared" si="79"/>
        <v>0.48842257597684524</v>
      </c>
      <c r="CX75" s="38">
        <f t="shared" si="80"/>
        <v>0</v>
      </c>
      <c r="CY75" s="40">
        <v>10.130000000000001</v>
      </c>
      <c r="CZ75" s="40">
        <v>13.02</v>
      </c>
      <c r="DA75" s="40">
        <v>8.5</v>
      </c>
      <c r="DB75" s="40">
        <v>23.72</v>
      </c>
      <c r="DC75" s="40">
        <v>12.7</v>
      </c>
      <c r="DD75" s="40">
        <v>16.809999999999999</v>
      </c>
      <c r="DE75">
        <v>142</v>
      </c>
      <c r="DF75">
        <v>115</v>
      </c>
      <c r="DG75" s="33">
        <f t="shared" si="81"/>
        <v>0.55252918287937747</v>
      </c>
      <c r="DH75">
        <v>-0.94</v>
      </c>
      <c r="DI75">
        <v>0.42</v>
      </c>
      <c r="DJ75">
        <v>63</v>
      </c>
      <c r="DK75">
        <v>121</v>
      </c>
      <c r="DL75">
        <v>73</v>
      </c>
      <c r="DM75" s="1" t="s">
        <v>443</v>
      </c>
      <c r="DN75" t="s">
        <v>444</v>
      </c>
    </row>
    <row r="76" spans="1:118" x14ac:dyDescent="0.25">
      <c r="A76" t="s">
        <v>445</v>
      </c>
      <c r="B76" t="s">
        <v>446</v>
      </c>
      <c r="C76" s="1" t="s">
        <v>168</v>
      </c>
      <c r="D76" s="2" t="s">
        <v>321</v>
      </c>
      <c r="E76">
        <v>13</v>
      </c>
      <c r="F76">
        <f>(6/13)</f>
        <v>0.46153846153846156</v>
      </c>
      <c r="G76" t="s">
        <v>544</v>
      </c>
      <c r="H76">
        <f>(42/59)</f>
        <v>0.71186440677966101</v>
      </c>
      <c r="I76">
        <v>4</v>
      </c>
      <c r="J76">
        <v>2</v>
      </c>
      <c r="K76" s="29">
        <f t="shared" si="41"/>
        <v>6</v>
      </c>
      <c r="L76" s="30">
        <f t="shared" si="42"/>
        <v>3.0214015946286192</v>
      </c>
      <c r="M76" s="20">
        <v>4</v>
      </c>
      <c r="N76" s="20">
        <v>1</v>
      </c>
      <c r="O76" s="20">
        <v>0</v>
      </c>
      <c r="P76" s="20">
        <v>12</v>
      </c>
      <c r="Q76" s="20">
        <v>6</v>
      </c>
      <c r="R76" s="20">
        <v>2</v>
      </c>
      <c r="S76" s="20">
        <v>18</v>
      </c>
      <c r="T76" s="31">
        <f t="shared" si="43"/>
        <v>0.33333333333333331</v>
      </c>
      <c r="U76" s="31">
        <f t="shared" si="44"/>
        <v>0.2</v>
      </c>
      <c r="V76">
        <v>7149</v>
      </c>
      <c r="W76" s="32">
        <f t="shared" si="45"/>
        <v>9.1653846153846157</v>
      </c>
      <c r="X76" s="23">
        <v>114.42</v>
      </c>
      <c r="Y76" s="32">
        <f t="shared" si="46"/>
        <v>8.8015384615384615</v>
      </c>
      <c r="Z76" s="23">
        <v>497.82</v>
      </c>
      <c r="AA76" s="32">
        <f t="shared" si="47"/>
        <v>38.293846153846154</v>
      </c>
      <c r="AB76" s="33">
        <f t="shared" si="48"/>
        <v>0.1868874950999608</v>
      </c>
      <c r="AC76" s="34">
        <f t="shared" si="49"/>
        <v>9.1666666666666679</v>
      </c>
      <c r="AD76" s="20">
        <v>2</v>
      </c>
      <c r="AE76" s="20">
        <v>6</v>
      </c>
      <c r="AF76" s="20">
        <v>12</v>
      </c>
      <c r="AG76" s="20">
        <v>2</v>
      </c>
      <c r="AH76" s="20">
        <v>2</v>
      </c>
      <c r="AI76" s="31">
        <f t="shared" si="50"/>
        <v>0.66666666666666663</v>
      </c>
      <c r="AJ76" s="31">
        <f t="shared" si="51"/>
        <v>0.16666666666666666</v>
      </c>
      <c r="AK76" s="31">
        <f t="shared" si="52"/>
        <v>0.83333333333333326</v>
      </c>
      <c r="AL76" s="20">
        <v>34</v>
      </c>
      <c r="AM76" s="33">
        <f t="shared" si="53"/>
        <v>0.32692307692307693</v>
      </c>
      <c r="AN76" s="20">
        <v>29</v>
      </c>
      <c r="AO76" s="33">
        <f t="shared" si="54"/>
        <v>0.27884615384615385</v>
      </c>
      <c r="AP76" s="20">
        <v>41</v>
      </c>
      <c r="AQ76" s="33">
        <f t="shared" si="55"/>
        <v>0.39423076923076922</v>
      </c>
      <c r="AR76" s="33">
        <f t="shared" si="56"/>
        <v>0.53968253968253965</v>
      </c>
      <c r="AS76" s="1">
        <v>13</v>
      </c>
      <c r="AT76" s="23">
        <v>9.4600000000000009</v>
      </c>
      <c r="AU76" s="20">
        <v>16.89</v>
      </c>
      <c r="AV76" s="35">
        <v>14</v>
      </c>
      <c r="AW76" s="36">
        <v>-2.1999999999999999E-2</v>
      </c>
      <c r="AX76" s="1">
        <v>13</v>
      </c>
      <c r="AY76" s="36">
        <v>1.347</v>
      </c>
      <c r="AZ76" s="20">
        <v>50.77</v>
      </c>
      <c r="BA76" s="20">
        <v>17.399999999999999</v>
      </c>
      <c r="BB76" s="36">
        <v>-1.0740000000000001</v>
      </c>
      <c r="BC76" s="36">
        <v>1.9500000000000002</v>
      </c>
      <c r="BD76" s="20">
        <v>51.18</v>
      </c>
      <c r="BE76" s="33">
        <f t="shared" si="57"/>
        <v>0.10909090909090909</v>
      </c>
      <c r="BF76" s="37">
        <f t="shared" si="58"/>
        <v>0.89090909090909087</v>
      </c>
      <c r="BG76" s="35">
        <f t="shared" si="59"/>
        <v>1000</v>
      </c>
      <c r="BH76" s="33">
        <f t="shared" si="60"/>
        <v>0</v>
      </c>
      <c r="BI76" s="38">
        <f t="shared" si="61"/>
        <v>3.146303093864709</v>
      </c>
      <c r="BJ76" s="38">
        <f t="shared" si="62"/>
        <v>3.146303093864709</v>
      </c>
      <c r="BK76" s="32">
        <f t="shared" si="63"/>
        <v>28.841111693759832</v>
      </c>
      <c r="BL76" s="32">
        <f t="shared" si="64"/>
        <v>28.841111693759832</v>
      </c>
      <c r="BM76" s="32">
        <f t="shared" si="65"/>
        <v>50.865233350812794</v>
      </c>
      <c r="BN76" s="32">
        <f t="shared" si="66"/>
        <v>48.767697954902992</v>
      </c>
      <c r="BO76" s="32">
        <f t="shared" si="67"/>
        <v>2.0975353959098015</v>
      </c>
      <c r="BP76" s="20">
        <v>6</v>
      </c>
      <c r="BQ76" s="20">
        <v>6</v>
      </c>
      <c r="BR76" s="35">
        <v>49</v>
      </c>
      <c r="BS76" s="35">
        <v>49</v>
      </c>
      <c r="BT76" s="20">
        <v>17</v>
      </c>
      <c r="BU76" s="20">
        <v>15</v>
      </c>
      <c r="BV76" s="20">
        <v>25</v>
      </c>
      <c r="BW76" s="20">
        <v>23</v>
      </c>
      <c r="BX76" s="20">
        <v>49</v>
      </c>
      <c r="BY76" s="20">
        <v>38</v>
      </c>
      <c r="BZ76" s="33">
        <f t="shared" si="68"/>
        <v>0.56321839080459768</v>
      </c>
      <c r="CA76" s="23">
        <v>2.69</v>
      </c>
      <c r="CB76" s="39">
        <f t="shared" si="69"/>
        <v>0.45215444352884937</v>
      </c>
      <c r="CC76" s="38">
        <f t="shared" si="70"/>
        <v>2.5524256238185083</v>
      </c>
      <c r="CD76" s="38">
        <f t="shared" si="71"/>
        <v>1.9634043260142373</v>
      </c>
      <c r="CE76" s="32">
        <f t="shared" si="72"/>
        <v>30.6291074858221</v>
      </c>
      <c r="CF76" s="32">
        <f t="shared" si="73"/>
        <v>29.941915971717119</v>
      </c>
      <c r="CG76" s="32">
        <f t="shared" si="74"/>
        <v>54.189959397992943</v>
      </c>
      <c r="CH76" s="32">
        <f t="shared" si="75"/>
        <v>53.600938100188678</v>
      </c>
      <c r="CI76" s="32">
        <f t="shared" si="76"/>
        <v>1.508514098105536</v>
      </c>
      <c r="CJ76">
        <v>611.18333299999995</v>
      </c>
      <c r="CK76">
        <v>26</v>
      </c>
      <c r="CL76">
        <v>20</v>
      </c>
      <c r="CM76" s="35">
        <v>286</v>
      </c>
      <c r="CN76">
        <v>285</v>
      </c>
      <c r="CO76">
        <v>114</v>
      </c>
      <c r="CP76">
        <v>92</v>
      </c>
      <c r="CQ76">
        <v>126</v>
      </c>
      <c r="CR76">
        <v>149</v>
      </c>
      <c r="CS76" s="20">
        <v>1</v>
      </c>
      <c r="CT76" s="20">
        <v>1</v>
      </c>
      <c r="CU76" s="35">
        <f t="shared" si="77"/>
        <v>0</v>
      </c>
      <c r="CV76" s="38">
        <f t="shared" si="78"/>
        <v>0.50356693243810324</v>
      </c>
      <c r="CW76" s="38">
        <f t="shared" si="79"/>
        <v>0.50356693243810324</v>
      </c>
      <c r="CX76" s="38">
        <f t="shared" si="80"/>
        <v>0</v>
      </c>
      <c r="CY76" s="40">
        <v>4.22</v>
      </c>
      <c r="CZ76" s="40">
        <v>3.66</v>
      </c>
      <c r="DA76" s="40">
        <v>3.71</v>
      </c>
      <c r="DB76" s="40">
        <v>2.9</v>
      </c>
      <c r="DC76" s="40">
        <v>4.51</v>
      </c>
      <c r="DD76" s="40">
        <v>3.83</v>
      </c>
      <c r="DE76">
        <v>0</v>
      </c>
      <c r="DF76">
        <v>0</v>
      </c>
      <c r="DG76" s="33" t="str">
        <f t="shared" si="81"/>
        <v xml:space="preserve"> </v>
      </c>
      <c r="DH76">
        <v>0</v>
      </c>
      <c r="DI76">
        <v>0</v>
      </c>
      <c r="DJ76">
        <v>0</v>
      </c>
      <c r="DK76">
        <v>0</v>
      </c>
      <c r="DL76">
        <v>0</v>
      </c>
      <c r="DM76" s="1" t="s">
        <v>447</v>
      </c>
      <c r="DN76" t="s">
        <v>448</v>
      </c>
    </row>
    <row r="77" spans="1:118" ht="26.25" x14ac:dyDescent="0.25">
      <c r="A77" t="s">
        <v>449</v>
      </c>
      <c r="B77" t="s">
        <v>450</v>
      </c>
      <c r="C77" s="1" t="s">
        <v>162</v>
      </c>
      <c r="D77" s="2" t="s">
        <v>131</v>
      </c>
      <c r="E77">
        <v>26</v>
      </c>
      <c r="F77">
        <f>(6/26)</f>
        <v>0.23076923076923078</v>
      </c>
      <c r="G77" t="s">
        <v>541</v>
      </c>
      <c r="H77">
        <f>(89/54)</f>
        <v>1.6481481481481481</v>
      </c>
      <c r="I77">
        <v>2</v>
      </c>
      <c r="J77">
        <v>3</v>
      </c>
      <c r="K77" s="29">
        <f t="shared" si="41"/>
        <v>5</v>
      </c>
      <c r="L77" s="30">
        <f t="shared" si="42"/>
        <v>1.1635423400129283</v>
      </c>
      <c r="M77" s="20">
        <v>2</v>
      </c>
      <c r="N77" s="20">
        <v>2</v>
      </c>
      <c r="O77" s="20">
        <v>1</v>
      </c>
      <c r="P77" s="20">
        <v>18</v>
      </c>
      <c r="Q77" s="20">
        <v>13</v>
      </c>
      <c r="R77" s="20">
        <v>11</v>
      </c>
      <c r="S77" s="20">
        <v>32</v>
      </c>
      <c r="T77" s="31">
        <f t="shared" si="43"/>
        <v>0.1111111111111111</v>
      </c>
      <c r="U77" s="31">
        <f t="shared" si="44"/>
        <v>4.7619047619047616E-2</v>
      </c>
      <c r="V77">
        <v>15470</v>
      </c>
      <c r="W77" s="32">
        <f t="shared" si="45"/>
        <v>9.9166666666666661</v>
      </c>
      <c r="X77" s="23">
        <v>249.93</v>
      </c>
      <c r="Y77" s="32">
        <f t="shared" si="46"/>
        <v>9.6126923076923081</v>
      </c>
      <c r="Z77" s="23">
        <v>1018.69</v>
      </c>
      <c r="AA77" s="32">
        <f t="shared" si="47"/>
        <v>39.180384615384618</v>
      </c>
      <c r="AB77" s="33">
        <f t="shared" si="48"/>
        <v>0.19700934874115181</v>
      </c>
      <c r="AC77" s="34">
        <f t="shared" si="49"/>
        <v>37.333333333333336</v>
      </c>
      <c r="AD77" s="20">
        <v>4</v>
      </c>
      <c r="AE77" s="20">
        <v>7</v>
      </c>
      <c r="AF77" s="20">
        <v>17</v>
      </c>
      <c r="AG77" s="20">
        <v>8</v>
      </c>
      <c r="AH77" s="20">
        <v>11</v>
      </c>
      <c r="AI77" s="31">
        <f t="shared" si="50"/>
        <v>0.33333333333333331</v>
      </c>
      <c r="AJ77" s="31">
        <f t="shared" si="51"/>
        <v>0.5</v>
      </c>
      <c r="AK77" s="31">
        <f t="shared" si="52"/>
        <v>0.83333333333333326</v>
      </c>
      <c r="AL77" s="20">
        <v>62</v>
      </c>
      <c r="AM77" s="33">
        <f t="shared" si="53"/>
        <v>0.33155080213903743</v>
      </c>
      <c r="AN77" s="20">
        <v>54</v>
      </c>
      <c r="AO77" s="33">
        <f t="shared" si="54"/>
        <v>0.28877005347593582</v>
      </c>
      <c r="AP77" s="20">
        <v>71</v>
      </c>
      <c r="AQ77" s="33">
        <f t="shared" si="55"/>
        <v>0.37967914438502676</v>
      </c>
      <c r="AR77" s="33">
        <f t="shared" si="56"/>
        <v>0.53448275862068961</v>
      </c>
      <c r="AS77" s="1">
        <v>10</v>
      </c>
      <c r="AT77" s="23">
        <v>5.01</v>
      </c>
      <c r="AU77" s="20">
        <v>16.71</v>
      </c>
      <c r="AV77" s="35">
        <v>13</v>
      </c>
      <c r="AW77" s="36">
        <v>-0.82400000000000007</v>
      </c>
      <c r="AX77" s="1">
        <v>13</v>
      </c>
      <c r="AY77" s="36">
        <v>-0.26600000000000001</v>
      </c>
      <c r="AZ77" s="20">
        <v>50.23</v>
      </c>
      <c r="BA77" s="20">
        <v>16.64</v>
      </c>
      <c r="BB77" s="36">
        <v>-3.3370000000000002</v>
      </c>
      <c r="BC77" s="36">
        <v>0.16700000000000001</v>
      </c>
      <c r="BD77" s="20">
        <v>50.44</v>
      </c>
      <c r="BE77" s="33">
        <f t="shared" si="57"/>
        <v>5.3571428571428568E-2</v>
      </c>
      <c r="BF77" s="37">
        <f t="shared" si="58"/>
        <v>0.9568965517241379</v>
      </c>
      <c r="BG77" s="35">
        <f t="shared" si="59"/>
        <v>1010.4679802955665</v>
      </c>
      <c r="BH77" s="33">
        <f t="shared" si="60"/>
        <v>1.0467980295566469E-2</v>
      </c>
      <c r="BI77" s="38">
        <f t="shared" si="61"/>
        <v>1.4404033129276197</v>
      </c>
      <c r="BJ77" s="38">
        <f t="shared" si="62"/>
        <v>1.2003360941063497</v>
      </c>
      <c r="BK77" s="32">
        <f t="shared" si="63"/>
        <v>26.887528507982235</v>
      </c>
      <c r="BL77" s="32">
        <f t="shared" si="64"/>
        <v>27.847797383267316</v>
      </c>
      <c r="BM77" s="32">
        <f t="shared" si="65"/>
        <v>53.054855359500664</v>
      </c>
      <c r="BN77" s="32">
        <f t="shared" si="66"/>
        <v>54.255191453607011</v>
      </c>
      <c r="BO77" s="32">
        <f t="shared" si="67"/>
        <v>-1.2003360941063477</v>
      </c>
      <c r="BP77" s="20">
        <v>6</v>
      </c>
      <c r="BQ77" s="20">
        <v>5</v>
      </c>
      <c r="BR77" s="35">
        <v>106</v>
      </c>
      <c r="BS77" s="35">
        <v>111</v>
      </c>
      <c r="BT77" s="20">
        <v>45</v>
      </c>
      <c r="BU77" s="20">
        <v>56</v>
      </c>
      <c r="BV77" s="20">
        <v>64</v>
      </c>
      <c r="BW77" s="20">
        <v>54</v>
      </c>
      <c r="BX77" s="20">
        <v>111</v>
      </c>
      <c r="BY77" s="20">
        <v>100</v>
      </c>
      <c r="BZ77" s="33">
        <f t="shared" si="68"/>
        <v>0.52606635071090047</v>
      </c>
      <c r="CA77" s="23">
        <v>2.5499999999999998</v>
      </c>
      <c r="CB77" s="39">
        <f t="shared" si="69"/>
        <v>-2.550922301002899</v>
      </c>
      <c r="CC77" s="38">
        <f t="shared" si="70"/>
        <v>2.5084469446357764</v>
      </c>
      <c r="CD77" s="38">
        <f t="shared" si="71"/>
        <v>2.3191301940972275</v>
      </c>
      <c r="CE77" s="32">
        <f t="shared" si="72"/>
        <v>29.628071459282946</v>
      </c>
      <c r="CF77" s="32">
        <f t="shared" si="73"/>
        <v>28.066208267339913</v>
      </c>
      <c r="CG77" s="32">
        <f t="shared" si="74"/>
        <v>54.333907404563611</v>
      </c>
      <c r="CH77" s="32">
        <f t="shared" si="75"/>
        <v>53.8132863405826</v>
      </c>
      <c r="CI77" s="32">
        <f t="shared" si="76"/>
        <v>-1.7209571580873586</v>
      </c>
      <c r="CJ77">
        <v>1267.7166669999999</v>
      </c>
      <c r="CK77">
        <v>53</v>
      </c>
      <c r="CL77">
        <v>49</v>
      </c>
      <c r="CM77" s="35">
        <v>573</v>
      </c>
      <c r="CN77">
        <v>544</v>
      </c>
      <c r="CO77">
        <v>228</v>
      </c>
      <c r="CP77">
        <v>235</v>
      </c>
      <c r="CQ77">
        <v>294</v>
      </c>
      <c r="CR77">
        <v>309</v>
      </c>
      <c r="CS77" s="20">
        <v>1</v>
      </c>
      <c r="CT77" s="20">
        <v>3</v>
      </c>
      <c r="CU77" s="35">
        <f t="shared" si="77"/>
        <v>2</v>
      </c>
      <c r="CV77" s="38">
        <f t="shared" si="78"/>
        <v>0.23270846800258566</v>
      </c>
      <c r="CW77" s="38">
        <f t="shared" si="79"/>
        <v>0.69812540400775691</v>
      </c>
      <c r="CX77" s="38">
        <f t="shared" si="80"/>
        <v>0.46541693600517131</v>
      </c>
      <c r="CY77" s="40">
        <v>0</v>
      </c>
      <c r="CZ77" s="40">
        <v>0</v>
      </c>
      <c r="DA77" s="40">
        <v>0</v>
      </c>
      <c r="DB77" s="40">
        <v>0</v>
      </c>
      <c r="DC77" s="40">
        <v>0</v>
      </c>
      <c r="DD77" s="40">
        <v>0</v>
      </c>
      <c r="DE77">
        <v>11</v>
      </c>
      <c r="DF77">
        <v>8</v>
      </c>
      <c r="DG77" s="33">
        <f t="shared" si="81"/>
        <v>0.57894736842105265</v>
      </c>
      <c r="DH77">
        <v>-0.05</v>
      </c>
      <c r="DI77">
        <v>-1.69</v>
      </c>
      <c r="DJ77">
        <v>10</v>
      </c>
      <c r="DK77">
        <v>5</v>
      </c>
      <c r="DL77">
        <v>3</v>
      </c>
      <c r="DM77" s="2" t="s">
        <v>451</v>
      </c>
      <c r="DN77" t="s">
        <v>452</v>
      </c>
    </row>
    <row r="78" spans="1:118" x14ac:dyDescent="0.25">
      <c r="A78" t="s">
        <v>150</v>
      </c>
      <c r="B78" t="s">
        <v>453</v>
      </c>
      <c r="C78" s="1" t="s">
        <v>250</v>
      </c>
      <c r="D78" s="2" t="s">
        <v>142</v>
      </c>
      <c r="E78">
        <v>28</v>
      </c>
      <c r="F78">
        <f>(6/28)</f>
        <v>0.21428571428571427</v>
      </c>
      <c r="G78" t="s">
        <v>544</v>
      </c>
      <c r="H78">
        <f>(30/70)</f>
        <v>0.42857142857142855</v>
      </c>
      <c r="I78">
        <v>1</v>
      </c>
      <c r="J78">
        <v>5</v>
      </c>
      <c r="K78" s="29">
        <f t="shared" si="41"/>
        <v>6</v>
      </c>
      <c r="L78" s="30">
        <f t="shared" si="42"/>
        <v>1.0708442813940806</v>
      </c>
      <c r="M78" s="20">
        <v>1</v>
      </c>
      <c r="N78" s="20">
        <v>1</v>
      </c>
      <c r="O78" s="20">
        <v>4</v>
      </c>
      <c r="P78" s="20">
        <v>18</v>
      </c>
      <c r="Q78" s="20">
        <v>11</v>
      </c>
      <c r="R78" s="20">
        <v>11</v>
      </c>
      <c r="S78" s="20">
        <v>8</v>
      </c>
      <c r="T78" s="31">
        <f t="shared" si="43"/>
        <v>5.5555555555555552E-2</v>
      </c>
      <c r="U78" s="31">
        <f t="shared" si="44"/>
        <v>2.5000000000000001E-2</v>
      </c>
      <c r="V78">
        <v>20171</v>
      </c>
      <c r="W78" s="32">
        <f t="shared" si="45"/>
        <v>12.006547619047618</v>
      </c>
      <c r="X78" s="23">
        <v>335.86</v>
      </c>
      <c r="Y78" s="32">
        <f t="shared" si="46"/>
        <v>11.995000000000001</v>
      </c>
      <c r="Z78" s="23">
        <v>1002.32</v>
      </c>
      <c r="AA78" s="32">
        <f t="shared" si="47"/>
        <v>35.797142857142859</v>
      </c>
      <c r="AB78" s="33">
        <f t="shared" si="48"/>
        <v>0.25098267796559504</v>
      </c>
      <c r="AC78" s="34">
        <f t="shared" si="49"/>
        <v>13.272727272727273</v>
      </c>
      <c r="AD78" s="20">
        <v>41</v>
      </c>
      <c r="AE78" s="20">
        <v>61</v>
      </c>
      <c r="AF78" s="20">
        <v>21</v>
      </c>
      <c r="AG78" s="20">
        <v>8</v>
      </c>
      <c r="AH78" s="20">
        <v>2</v>
      </c>
      <c r="AI78" s="31">
        <f t="shared" si="50"/>
        <v>9.0909090909090912E-2</v>
      </c>
      <c r="AJ78" s="31">
        <f t="shared" si="51"/>
        <v>0.45454545454545453</v>
      </c>
      <c r="AK78" s="31">
        <f t="shared" si="52"/>
        <v>0.54545454545454541</v>
      </c>
      <c r="AL78" s="20">
        <v>90</v>
      </c>
      <c r="AM78" s="33">
        <f t="shared" si="53"/>
        <v>0.36437246963562753</v>
      </c>
      <c r="AN78" s="20">
        <v>76</v>
      </c>
      <c r="AO78" s="33">
        <f t="shared" si="54"/>
        <v>0.30769230769230771</v>
      </c>
      <c r="AP78" s="20">
        <v>81</v>
      </c>
      <c r="AQ78" s="33">
        <f t="shared" si="55"/>
        <v>0.32793522267206476</v>
      </c>
      <c r="AR78" s="33">
        <f t="shared" si="56"/>
        <v>0.54216867469879515</v>
      </c>
      <c r="AS78" s="1">
        <v>6</v>
      </c>
      <c r="AT78" s="23">
        <v>3.54</v>
      </c>
      <c r="AU78" s="20">
        <v>16.690000000000001</v>
      </c>
      <c r="AV78" s="35">
        <v>8</v>
      </c>
      <c r="AW78" s="36">
        <v>-0.51200000000000001</v>
      </c>
      <c r="AX78" s="1">
        <v>6</v>
      </c>
      <c r="AY78" s="36">
        <v>-0.128</v>
      </c>
      <c r="AZ78" s="20">
        <v>49.93</v>
      </c>
      <c r="BA78" s="20">
        <v>15.99</v>
      </c>
      <c r="BB78" s="36">
        <v>2.7290000000000001</v>
      </c>
      <c r="BC78" s="36">
        <v>6.2270000000000003</v>
      </c>
      <c r="BD78" s="20">
        <v>52.24</v>
      </c>
      <c r="BE78" s="33">
        <f t="shared" si="57"/>
        <v>7.5342465753424653E-2</v>
      </c>
      <c r="BF78" s="37">
        <f t="shared" si="58"/>
        <v>0.93604651162790697</v>
      </c>
      <c r="BG78" s="35">
        <f t="shared" si="59"/>
        <v>1011.3889773813316</v>
      </c>
      <c r="BH78" s="33">
        <f t="shared" si="60"/>
        <v>1.1388977381331628E-2</v>
      </c>
      <c r="BI78" s="38">
        <f t="shared" si="61"/>
        <v>1.9651045078306437</v>
      </c>
      <c r="BJ78" s="38">
        <f t="shared" si="62"/>
        <v>1.9651045078306437</v>
      </c>
      <c r="BK78" s="32">
        <f t="shared" si="63"/>
        <v>26.082296194843089</v>
      </c>
      <c r="BL78" s="32">
        <f t="shared" si="64"/>
        <v>30.727088667897338</v>
      </c>
      <c r="BM78" s="32">
        <f t="shared" si="65"/>
        <v>49.127612695766096</v>
      </c>
      <c r="BN78" s="32">
        <f t="shared" si="66"/>
        <v>58.595843506222835</v>
      </c>
      <c r="BO78" s="32">
        <f t="shared" si="67"/>
        <v>-9.4682308104567383</v>
      </c>
      <c r="BP78" s="20">
        <v>11</v>
      </c>
      <c r="BQ78" s="20">
        <v>11</v>
      </c>
      <c r="BR78" s="35">
        <v>135</v>
      </c>
      <c r="BS78" s="35">
        <v>161</v>
      </c>
      <c r="BT78" s="20">
        <v>56</v>
      </c>
      <c r="BU78" s="20">
        <v>58</v>
      </c>
      <c r="BV78" s="20">
        <v>73</v>
      </c>
      <c r="BW78" s="20">
        <v>98</v>
      </c>
      <c r="BX78" s="20">
        <v>123</v>
      </c>
      <c r="BY78" s="20">
        <v>154</v>
      </c>
      <c r="BZ78" s="33">
        <f t="shared" si="68"/>
        <v>0.44404332129963897</v>
      </c>
      <c r="CA78" s="23">
        <v>-9.7899999999999991</v>
      </c>
      <c r="CB78" s="39">
        <f t="shared" si="69"/>
        <v>-16.925279003227821</v>
      </c>
      <c r="CC78" s="38">
        <f t="shared" si="70"/>
        <v>2.5544628414177675</v>
      </c>
      <c r="CD78" s="38">
        <f t="shared" si="71"/>
        <v>2.1959417408679052</v>
      </c>
      <c r="CE78" s="32">
        <f t="shared" si="72"/>
        <v>29.712436208069821</v>
      </c>
      <c r="CF78" s="32">
        <f t="shared" si="73"/>
        <v>27.964645842889244</v>
      </c>
      <c r="CG78" s="32">
        <f t="shared" si="74"/>
        <v>54.674467833853967</v>
      </c>
      <c r="CH78" s="32">
        <f t="shared" si="75"/>
        <v>54.047055907891711</v>
      </c>
      <c r="CI78" s="32">
        <f t="shared" si="76"/>
        <v>-10.095642736418995</v>
      </c>
      <c r="CJ78">
        <v>1338.833333</v>
      </c>
      <c r="CK78">
        <v>57</v>
      </c>
      <c r="CL78">
        <v>49</v>
      </c>
      <c r="CM78" s="35">
        <v>606</v>
      </c>
      <c r="CN78">
        <v>575</v>
      </c>
      <c r="CO78">
        <v>262</v>
      </c>
      <c r="CP78">
        <v>236</v>
      </c>
      <c r="CQ78">
        <v>295</v>
      </c>
      <c r="CR78">
        <v>346</v>
      </c>
      <c r="CS78" s="20">
        <v>4</v>
      </c>
      <c r="CT78" s="20">
        <v>4</v>
      </c>
      <c r="CU78" s="35">
        <f t="shared" si="77"/>
        <v>0</v>
      </c>
      <c r="CV78" s="38">
        <f t="shared" si="78"/>
        <v>0.71389618759605389</v>
      </c>
      <c r="CW78" s="38">
        <f t="shared" si="79"/>
        <v>0.71389618759605389</v>
      </c>
      <c r="CX78" s="38">
        <f t="shared" si="80"/>
        <v>0</v>
      </c>
      <c r="CY78" s="40">
        <v>11.48</v>
      </c>
      <c r="CZ78" s="40">
        <v>11.48</v>
      </c>
      <c r="DA78" s="40">
        <v>24.05</v>
      </c>
      <c r="DB78" s="40">
        <v>10.25</v>
      </c>
      <c r="DC78" s="40">
        <v>12.34</v>
      </c>
      <c r="DD78" s="40">
        <v>9.68</v>
      </c>
      <c r="DE78">
        <v>0</v>
      </c>
      <c r="DF78">
        <v>0</v>
      </c>
      <c r="DG78" s="33" t="str">
        <f t="shared" si="81"/>
        <v xml:space="preserve"> </v>
      </c>
      <c r="DH78">
        <v>0</v>
      </c>
      <c r="DI78">
        <v>0</v>
      </c>
      <c r="DJ78">
        <v>0</v>
      </c>
      <c r="DK78">
        <v>0</v>
      </c>
      <c r="DL78">
        <v>0</v>
      </c>
      <c r="DM78" s="1" t="s">
        <v>454</v>
      </c>
      <c r="DN78" t="s">
        <v>455</v>
      </c>
    </row>
    <row r="79" spans="1:118" x14ac:dyDescent="0.25">
      <c r="A79" t="s">
        <v>134</v>
      </c>
      <c r="B79" t="s">
        <v>456</v>
      </c>
      <c r="C79" s="1" t="s">
        <v>295</v>
      </c>
      <c r="D79" s="2" t="s">
        <v>321</v>
      </c>
      <c r="E79">
        <v>7</v>
      </c>
      <c r="F79">
        <f>(6/7)</f>
        <v>0.8571428571428571</v>
      </c>
      <c r="G79" t="s">
        <v>544</v>
      </c>
      <c r="H79">
        <f>(61/76)</f>
        <v>0.80263157894736847</v>
      </c>
      <c r="I79">
        <v>0</v>
      </c>
      <c r="J79">
        <v>1</v>
      </c>
      <c r="K79" s="29">
        <f t="shared" si="41"/>
        <v>1</v>
      </c>
      <c r="L79" s="30">
        <f t="shared" si="42"/>
        <v>0.77452667814113596</v>
      </c>
      <c r="M79" s="20">
        <v>0</v>
      </c>
      <c r="N79" s="20">
        <v>0</v>
      </c>
      <c r="O79" s="20">
        <v>0</v>
      </c>
      <c r="P79" s="20">
        <v>6</v>
      </c>
      <c r="Q79" s="20">
        <v>1</v>
      </c>
      <c r="R79" s="20">
        <v>2</v>
      </c>
      <c r="S79" s="20">
        <v>5</v>
      </c>
      <c r="T79" s="31">
        <f t="shared" si="43"/>
        <v>0</v>
      </c>
      <c r="U79" s="31">
        <f t="shared" si="44"/>
        <v>0</v>
      </c>
      <c r="V79">
        <v>4648</v>
      </c>
      <c r="W79" s="32">
        <f t="shared" si="45"/>
        <v>11.066666666666666</v>
      </c>
      <c r="X79" s="23">
        <v>70.12</v>
      </c>
      <c r="Y79" s="32">
        <f t="shared" si="46"/>
        <v>10.017142857142858</v>
      </c>
      <c r="Z79" s="23">
        <v>253.7</v>
      </c>
      <c r="AA79" s="32">
        <f t="shared" si="47"/>
        <v>36.24285714285714</v>
      </c>
      <c r="AB79" s="33">
        <f t="shared" si="48"/>
        <v>0.21654005311592864</v>
      </c>
      <c r="AC79" s="34">
        <f t="shared" si="49"/>
        <v>0</v>
      </c>
      <c r="AD79" s="20">
        <v>2</v>
      </c>
      <c r="AE79" s="20">
        <v>1</v>
      </c>
      <c r="AF79" s="20">
        <v>9</v>
      </c>
      <c r="AG79" s="20">
        <v>0</v>
      </c>
      <c r="AH79" s="20">
        <v>4</v>
      </c>
      <c r="AI79" s="31">
        <f t="shared" si="50"/>
        <v>0</v>
      </c>
      <c r="AJ79" s="31">
        <f t="shared" si="51"/>
        <v>0</v>
      </c>
      <c r="AK79" s="31">
        <f t="shared" si="52"/>
        <v>0</v>
      </c>
      <c r="AL79" s="20">
        <v>31</v>
      </c>
      <c r="AM79" s="33">
        <f t="shared" si="53"/>
        <v>0.42465753424657532</v>
      </c>
      <c r="AN79" s="20">
        <v>20</v>
      </c>
      <c r="AO79" s="33">
        <f t="shared" si="54"/>
        <v>0.27397260273972601</v>
      </c>
      <c r="AP79" s="20">
        <v>22</v>
      </c>
      <c r="AQ79" s="33">
        <f t="shared" si="55"/>
        <v>0.30136986301369861</v>
      </c>
      <c r="AR79" s="33">
        <f t="shared" si="56"/>
        <v>0.60784313725490191</v>
      </c>
      <c r="AS79" s="1">
        <v>14</v>
      </c>
      <c r="AT79" s="23">
        <v>11.08</v>
      </c>
      <c r="AU79" s="20">
        <v>16.940000000000001</v>
      </c>
      <c r="AV79" s="35">
        <v>13</v>
      </c>
      <c r="AW79" s="36">
        <v>0.88</v>
      </c>
      <c r="AX79" s="1">
        <v>5</v>
      </c>
      <c r="AY79" s="36">
        <v>7.4999999999999997E-2</v>
      </c>
      <c r="AZ79" s="20">
        <v>49.77</v>
      </c>
      <c r="BA79" s="20">
        <v>16.43</v>
      </c>
      <c r="BB79" s="36">
        <v>1.786</v>
      </c>
      <c r="BC79" s="36">
        <v>5.84</v>
      </c>
      <c r="BD79" s="20">
        <v>52.14</v>
      </c>
      <c r="BE79" s="33">
        <f t="shared" si="57"/>
        <v>5.8823529411764705E-2</v>
      </c>
      <c r="BF79" s="37">
        <f t="shared" si="58"/>
        <v>0.9</v>
      </c>
      <c r="BG79" s="35">
        <f t="shared" si="59"/>
        <v>958.82352941176475</v>
      </c>
      <c r="BH79" s="33">
        <f t="shared" si="60"/>
        <v>-4.1176470588235273E-2</v>
      </c>
      <c r="BI79" s="38">
        <f t="shared" si="61"/>
        <v>1.7113519680547631</v>
      </c>
      <c r="BJ79" s="38">
        <f t="shared" si="62"/>
        <v>3.4227039361095262</v>
      </c>
      <c r="BK79" s="32">
        <f t="shared" si="63"/>
        <v>29.092983456930973</v>
      </c>
      <c r="BL79" s="32">
        <f t="shared" si="64"/>
        <v>34.227039361095265</v>
      </c>
      <c r="BM79" s="32">
        <f t="shared" si="65"/>
        <v>59.041642897889332</v>
      </c>
      <c r="BN79" s="32">
        <f t="shared" si="66"/>
        <v>52.196235025670276</v>
      </c>
      <c r="BO79" s="32">
        <f t="shared" si="67"/>
        <v>6.8454078722190559</v>
      </c>
      <c r="BP79" s="20">
        <v>2</v>
      </c>
      <c r="BQ79" s="20">
        <v>4</v>
      </c>
      <c r="BR79" s="35">
        <v>32</v>
      </c>
      <c r="BS79" s="35">
        <v>36</v>
      </c>
      <c r="BT79" s="20">
        <v>15</v>
      </c>
      <c r="BU79" s="20">
        <v>11</v>
      </c>
      <c r="BV79" s="20">
        <v>20</v>
      </c>
      <c r="BW79" s="20">
        <v>10</v>
      </c>
      <c r="BX79" s="20">
        <v>29</v>
      </c>
      <c r="BY79" s="20">
        <v>31</v>
      </c>
      <c r="BZ79" s="33">
        <f t="shared" si="68"/>
        <v>0.48333333333333334</v>
      </c>
      <c r="CA79" s="23">
        <v>-3.18</v>
      </c>
      <c r="CB79" s="39">
        <f t="shared" si="69"/>
        <v>-1.5978274218985895</v>
      </c>
      <c r="CC79" s="38">
        <f t="shared" si="70"/>
        <v>1.8494734119193696</v>
      </c>
      <c r="CD79" s="38">
        <f t="shared" si="71"/>
        <v>1.8494734119193696</v>
      </c>
      <c r="CE79" s="32">
        <f t="shared" si="72"/>
        <v>27.927048519982481</v>
      </c>
      <c r="CF79" s="32">
        <f t="shared" si="73"/>
        <v>29.036732567134102</v>
      </c>
      <c r="CG79" s="32">
        <f t="shared" si="74"/>
        <v>58.62830715784402</v>
      </c>
      <c r="CH79" s="32">
        <f t="shared" si="75"/>
        <v>53.079886922085912</v>
      </c>
      <c r="CI79" s="32">
        <f t="shared" si="76"/>
        <v>1.2969876364609476</v>
      </c>
      <c r="CJ79">
        <v>324.41666700000002</v>
      </c>
      <c r="CK79">
        <v>10</v>
      </c>
      <c r="CL79">
        <v>10</v>
      </c>
      <c r="CM79" s="35">
        <v>141</v>
      </c>
      <c r="CN79">
        <v>147</v>
      </c>
      <c r="CO79">
        <v>85</v>
      </c>
      <c r="CP79">
        <v>69</v>
      </c>
      <c r="CQ79">
        <v>81</v>
      </c>
      <c r="CR79">
        <v>61</v>
      </c>
      <c r="CS79" s="20">
        <v>0</v>
      </c>
      <c r="CT79" s="20">
        <v>1</v>
      </c>
      <c r="CU79" s="35">
        <f t="shared" si="77"/>
        <v>1</v>
      </c>
      <c r="CV79" s="38">
        <f t="shared" si="78"/>
        <v>0</v>
      </c>
      <c r="CW79" s="38">
        <f t="shared" si="79"/>
        <v>0.77452667814113596</v>
      </c>
      <c r="CX79" s="38">
        <f t="shared" si="80"/>
        <v>0.77452667814113596</v>
      </c>
      <c r="CY79" s="40">
        <v>2.2800000000000002</v>
      </c>
      <c r="CZ79" s="40">
        <v>2.96</v>
      </c>
      <c r="DA79" s="40">
        <v>1.3</v>
      </c>
      <c r="DB79" s="40">
        <v>5.18</v>
      </c>
      <c r="DC79" s="40">
        <v>2.2000000000000002</v>
      </c>
      <c r="DD79" s="40">
        <v>3.27</v>
      </c>
      <c r="DE79">
        <v>0</v>
      </c>
      <c r="DF79">
        <v>0</v>
      </c>
      <c r="DG79" s="33" t="str">
        <f t="shared" si="81"/>
        <v xml:space="preserve"> </v>
      </c>
      <c r="DH79">
        <v>0</v>
      </c>
      <c r="DI79">
        <v>0</v>
      </c>
      <c r="DJ79">
        <v>0</v>
      </c>
      <c r="DK79">
        <v>0</v>
      </c>
      <c r="DL79">
        <v>0</v>
      </c>
      <c r="DM79" s="1" t="s">
        <v>457</v>
      </c>
      <c r="DN79" t="s">
        <v>458</v>
      </c>
    </row>
    <row r="80" spans="1:118" x14ac:dyDescent="0.25">
      <c r="A80" t="s">
        <v>356</v>
      </c>
      <c r="B80" t="s">
        <v>459</v>
      </c>
      <c r="C80" s="1" t="s">
        <v>229</v>
      </c>
      <c r="D80" s="2" t="s">
        <v>142</v>
      </c>
      <c r="E80">
        <v>10</v>
      </c>
      <c r="F80">
        <f>(6/10)</f>
        <v>0.6</v>
      </c>
      <c r="G80" t="s">
        <v>544</v>
      </c>
      <c r="H80">
        <f>(17/63)</f>
        <v>0.26984126984126983</v>
      </c>
      <c r="I80">
        <v>0</v>
      </c>
      <c r="J80">
        <v>6</v>
      </c>
      <c r="K80" s="29">
        <f t="shared" si="41"/>
        <v>6</v>
      </c>
      <c r="L80" s="30">
        <f t="shared" si="42"/>
        <v>2.5110439432690073</v>
      </c>
      <c r="M80" s="20">
        <v>0</v>
      </c>
      <c r="N80" s="20">
        <v>3</v>
      </c>
      <c r="O80" s="20">
        <v>3</v>
      </c>
      <c r="P80" s="20">
        <v>9</v>
      </c>
      <c r="Q80" s="20">
        <v>5</v>
      </c>
      <c r="R80" s="20">
        <v>2</v>
      </c>
      <c r="S80" s="20">
        <v>1</v>
      </c>
      <c r="T80" s="31">
        <f t="shared" si="43"/>
        <v>0</v>
      </c>
      <c r="U80" s="31">
        <f t="shared" si="44"/>
        <v>0</v>
      </c>
      <c r="V80">
        <v>8602</v>
      </c>
      <c r="W80" s="32">
        <f t="shared" si="45"/>
        <v>14.336666666666668</v>
      </c>
      <c r="X80" s="23">
        <v>133.11000000000001</v>
      </c>
      <c r="Y80" s="32">
        <f t="shared" si="46"/>
        <v>13.311000000000002</v>
      </c>
      <c r="Z80" s="23">
        <v>351.43</v>
      </c>
      <c r="AA80" s="32">
        <f t="shared" si="47"/>
        <v>35.143000000000001</v>
      </c>
      <c r="AB80" s="33">
        <f t="shared" si="48"/>
        <v>0.27471416188549969</v>
      </c>
      <c r="AC80" s="34">
        <f t="shared" si="49"/>
        <v>26.25</v>
      </c>
      <c r="AD80" s="20">
        <v>18</v>
      </c>
      <c r="AE80" s="20">
        <v>5</v>
      </c>
      <c r="AF80" s="20">
        <v>14</v>
      </c>
      <c r="AG80" s="20">
        <v>4</v>
      </c>
      <c r="AH80" s="20">
        <v>2</v>
      </c>
      <c r="AI80" s="31">
        <f t="shared" si="50"/>
        <v>0</v>
      </c>
      <c r="AJ80" s="31">
        <f t="shared" si="51"/>
        <v>0.75</v>
      </c>
      <c r="AK80" s="31">
        <f t="shared" si="52"/>
        <v>0.75</v>
      </c>
      <c r="AL80" s="20">
        <v>49</v>
      </c>
      <c r="AM80" s="33">
        <f t="shared" si="53"/>
        <v>0.35</v>
      </c>
      <c r="AN80" s="20">
        <v>46</v>
      </c>
      <c r="AO80" s="33">
        <f t="shared" si="54"/>
        <v>0.32857142857142857</v>
      </c>
      <c r="AP80" s="20">
        <v>45</v>
      </c>
      <c r="AQ80" s="33">
        <f t="shared" si="55"/>
        <v>0.32142857142857145</v>
      </c>
      <c r="AR80" s="33">
        <f t="shared" si="56"/>
        <v>0.51578947368421058</v>
      </c>
      <c r="AS80" s="1">
        <v>7</v>
      </c>
      <c r="AT80" s="23">
        <v>4.1399999999999997</v>
      </c>
      <c r="AU80" s="20">
        <v>16.88</v>
      </c>
      <c r="AV80" s="35">
        <v>9</v>
      </c>
      <c r="AW80" s="36">
        <v>0.17200000000000001</v>
      </c>
      <c r="AX80" s="1">
        <v>5</v>
      </c>
      <c r="AY80" s="36">
        <v>1.306</v>
      </c>
      <c r="AZ80" s="20">
        <v>50.61</v>
      </c>
      <c r="BA80" s="20">
        <v>15.66</v>
      </c>
      <c r="BB80" s="36">
        <v>1.5939999999999999</v>
      </c>
      <c r="BC80" s="36">
        <v>2.121</v>
      </c>
      <c r="BD80" s="20">
        <v>49.7</v>
      </c>
      <c r="BE80" s="33">
        <f t="shared" si="57"/>
        <v>0.11428571428571428</v>
      </c>
      <c r="BF80" s="37">
        <f t="shared" si="58"/>
        <v>0.875</v>
      </c>
      <c r="BG80" s="35">
        <f t="shared" si="59"/>
        <v>989.28571428571422</v>
      </c>
      <c r="BH80" s="33">
        <f t="shared" si="60"/>
        <v>-1.0714285714285718E-2</v>
      </c>
      <c r="BI80" s="38">
        <f t="shared" si="61"/>
        <v>3.6060401171963035</v>
      </c>
      <c r="BJ80" s="38">
        <f t="shared" si="62"/>
        <v>3.6060401171963035</v>
      </c>
      <c r="BK80" s="32">
        <f t="shared" si="63"/>
        <v>31.552851025467653</v>
      </c>
      <c r="BL80" s="32">
        <f t="shared" si="64"/>
        <v>28.848320937570428</v>
      </c>
      <c r="BM80" s="32">
        <f t="shared" si="65"/>
        <v>51.386071670047329</v>
      </c>
      <c r="BN80" s="32">
        <f t="shared" si="66"/>
        <v>54.090601757944555</v>
      </c>
      <c r="BO80" s="32">
        <f t="shared" si="67"/>
        <v>-2.7045300878972256</v>
      </c>
      <c r="BP80" s="20">
        <v>8</v>
      </c>
      <c r="BQ80" s="20">
        <v>8</v>
      </c>
      <c r="BR80" s="35">
        <v>62</v>
      </c>
      <c r="BS80" s="35">
        <v>56</v>
      </c>
      <c r="BT80" s="20">
        <v>19</v>
      </c>
      <c r="BU80" s="20">
        <v>18</v>
      </c>
      <c r="BV80" s="20">
        <v>25</v>
      </c>
      <c r="BW80" s="20">
        <v>38</v>
      </c>
      <c r="BX80" s="20">
        <v>44</v>
      </c>
      <c r="BY80" s="20">
        <v>56</v>
      </c>
      <c r="BZ80" s="33">
        <f t="shared" si="68"/>
        <v>0.44</v>
      </c>
      <c r="CA80" s="23">
        <v>-5.82</v>
      </c>
      <c r="CB80" s="39">
        <f t="shared" si="69"/>
        <v>-3.9884774563182805</v>
      </c>
      <c r="CC80" s="38">
        <f t="shared" si="70"/>
        <v>2.8489832452595971</v>
      </c>
      <c r="CD80" s="38">
        <f t="shared" si="71"/>
        <v>2.4773767350083453</v>
      </c>
      <c r="CE80" s="32">
        <f t="shared" si="72"/>
        <v>28.737570126096806</v>
      </c>
      <c r="CF80" s="32">
        <f t="shared" si="73"/>
        <v>29.480783146599308</v>
      </c>
      <c r="CG80" s="32">
        <f t="shared" si="74"/>
        <v>50.538485394170237</v>
      </c>
      <c r="CH80" s="32">
        <f t="shared" si="75"/>
        <v>55.121632353935681</v>
      </c>
      <c r="CI80" s="32">
        <f t="shared" si="76"/>
        <v>1.8786168718682177</v>
      </c>
      <c r="CJ80">
        <v>484.38333299999999</v>
      </c>
      <c r="CK80">
        <v>23</v>
      </c>
      <c r="CL80">
        <v>20</v>
      </c>
      <c r="CM80" s="35">
        <v>209</v>
      </c>
      <c r="CN80">
        <v>218</v>
      </c>
      <c r="CO80">
        <v>83</v>
      </c>
      <c r="CP80">
        <v>83</v>
      </c>
      <c r="CQ80">
        <v>93</v>
      </c>
      <c r="CR80">
        <v>124</v>
      </c>
      <c r="CS80" s="20">
        <v>1</v>
      </c>
      <c r="CT80" s="20">
        <v>0</v>
      </c>
      <c r="CU80" s="35">
        <f t="shared" si="77"/>
        <v>-1</v>
      </c>
      <c r="CV80" s="38">
        <f t="shared" si="78"/>
        <v>0.41850732387816786</v>
      </c>
      <c r="CW80" s="38">
        <f t="shared" si="79"/>
        <v>0</v>
      </c>
      <c r="CX80" s="38">
        <f t="shared" si="80"/>
        <v>-0.41850732387816786</v>
      </c>
      <c r="CY80" s="40">
        <v>4.7699999999999996</v>
      </c>
      <c r="CZ80" s="40">
        <v>5.71</v>
      </c>
      <c r="DA80" s="40">
        <v>10.08</v>
      </c>
      <c r="DB80" s="40">
        <v>4.9400000000000004</v>
      </c>
      <c r="DC80" s="40">
        <v>5.04</v>
      </c>
      <c r="DD80" s="40">
        <v>4.84</v>
      </c>
      <c r="DE80">
        <v>0</v>
      </c>
      <c r="DF80">
        <v>0</v>
      </c>
      <c r="DG80" s="33" t="str">
        <f t="shared" si="81"/>
        <v xml:space="preserve"> </v>
      </c>
      <c r="DH80">
        <v>0</v>
      </c>
      <c r="DI80">
        <v>0</v>
      </c>
      <c r="DJ80">
        <v>0</v>
      </c>
      <c r="DK80">
        <v>0</v>
      </c>
      <c r="DL80">
        <v>0</v>
      </c>
      <c r="DM80" s="1" t="s">
        <v>460</v>
      </c>
      <c r="DN80" t="s">
        <v>461</v>
      </c>
    </row>
    <row r="81" spans="1:118" x14ac:dyDescent="0.25">
      <c r="A81" t="s">
        <v>462</v>
      </c>
      <c r="B81" t="s">
        <v>463</v>
      </c>
      <c r="C81" s="1" t="s">
        <v>403</v>
      </c>
      <c r="D81" s="2" t="s">
        <v>157</v>
      </c>
      <c r="E81">
        <v>20</v>
      </c>
      <c r="F81">
        <f>(5/20)</f>
        <v>0.25</v>
      </c>
      <c r="G81" t="s">
        <v>544</v>
      </c>
      <c r="H81">
        <f>(42/64)</f>
        <v>0.65625</v>
      </c>
      <c r="I81">
        <v>3</v>
      </c>
      <c r="J81">
        <v>2</v>
      </c>
      <c r="K81" s="29">
        <f t="shared" si="41"/>
        <v>5</v>
      </c>
      <c r="L81" s="30">
        <f t="shared" si="42"/>
        <v>1.3227513227513228</v>
      </c>
      <c r="M81" s="20">
        <v>3</v>
      </c>
      <c r="N81" s="20">
        <v>0</v>
      </c>
      <c r="O81" s="20">
        <v>2</v>
      </c>
      <c r="P81" s="20">
        <v>22</v>
      </c>
      <c r="Q81" s="20">
        <v>8</v>
      </c>
      <c r="R81" s="20">
        <v>9</v>
      </c>
      <c r="S81" s="20">
        <v>19</v>
      </c>
      <c r="T81" s="31">
        <f t="shared" si="43"/>
        <v>0.13636363636363635</v>
      </c>
      <c r="U81" s="31">
        <f t="shared" si="44"/>
        <v>7.6923076923076927E-2</v>
      </c>
      <c r="V81">
        <v>13608</v>
      </c>
      <c r="W81" s="32">
        <f t="shared" si="45"/>
        <v>11.34</v>
      </c>
      <c r="X81" s="23">
        <v>215.07</v>
      </c>
      <c r="Y81" s="32">
        <f t="shared" si="46"/>
        <v>10.753499999999999</v>
      </c>
      <c r="Z81" s="23">
        <v>759.17</v>
      </c>
      <c r="AA81" s="32">
        <f t="shared" si="47"/>
        <v>37.958500000000001</v>
      </c>
      <c r="AB81" s="33">
        <f t="shared" si="48"/>
        <v>0.22075669239612411</v>
      </c>
      <c r="AC81" s="34">
        <f t="shared" si="49"/>
        <v>0</v>
      </c>
      <c r="AD81" s="20">
        <v>2</v>
      </c>
      <c r="AE81" s="20">
        <v>17</v>
      </c>
      <c r="AF81" s="20">
        <v>22</v>
      </c>
      <c r="AG81" s="20">
        <v>5</v>
      </c>
      <c r="AH81" s="20">
        <v>10</v>
      </c>
      <c r="AI81" s="31">
        <f t="shared" si="50"/>
        <v>0.42857142857142855</v>
      </c>
      <c r="AJ81" s="31">
        <f t="shared" si="51"/>
        <v>0.2857142857142857</v>
      </c>
      <c r="AK81" s="31">
        <f t="shared" si="52"/>
        <v>0.71428571428571419</v>
      </c>
      <c r="AL81" s="20">
        <v>71</v>
      </c>
      <c r="AM81" s="33">
        <f t="shared" si="53"/>
        <v>0.36224489795918369</v>
      </c>
      <c r="AN81" s="20">
        <v>59</v>
      </c>
      <c r="AO81" s="33">
        <f t="shared" si="54"/>
        <v>0.30102040816326531</v>
      </c>
      <c r="AP81" s="20">
        <v>66</v>
      </c>
      <c r="AQ81" s="33">
        <f t="shared" si="55"/>
        <v>0.33673469387755101</v>
      </c>
      <c r="AR81" s="33">
        <f t="shared" si="56"/>
        <v>0.5461538461538461</v>
      </c>
      <c r="AS81" s="1">
        <v>14</v>
      </c>
      <c r="AT81" s="23">
        <v>5.76</v>
      </c>
      <c r="AU81" s="20">
        <v>17</v>
      </c>
      <c r="AV81" s="35">
        <v>11</v>
      </c>
      <c r="AW81" s="36">
        <v>0.29699999999999999</v>
      </c>
      <c r="AX81" s="1">
        <v>11</v>
      </c>
      <c r="AY81" s="36">
        <v>0.63800000000000001</v>
      </c>
      <c r="AZ81" s="20">
        <v>49.98</v>
      </c>
      <c r="BA81" s="20">
        <v>17.329999999999998</v>
      </c>
      <c r="BB81" s="36">
        <v>-0.48399999999999999</v>
      </c>
      <c r="BC81" s="36">
        <v>-2.911</v>
      </c>
      <c r="BD81" s="20">
        <v>49.51</v>
      </c>
      <c r="BE81" s="33">
        <f t="shared" si="57"/>
        <v>7.4468085106382975E-2</v>
      </c>
      <c r="BF81" s="37">
        <f t="shared" si="58"/>
        <v>0.90350877192982459</v>
      </c>
      <c r="BG81" s="35">
        <f t="shared" si="59"/>
        <v>977.97685703620755</v>
      </c>
      <c r="BH81" s="33">
        <f t="shared" si="60"/>
        <v>-2.202314296379243E-2</v>
      </c>
      <c r="BI81" s="38">
        <f t="shared" si="61"/>
        <v>1.9528525596317479</v>
      </c>
      <c r="BJ81" s="38">
        <f t="shared" si="62"/>
        <v>3.0687683079927464</v>
      </c>
      <c r="BK81" s="32">
        <f t="shared" si="63"/>
        <v>26.224020086483474</v>
      </c>
      <c r="BL81" s="32">
        <f t="shared" si="64"/>
        <v>31.803598828288465</v>
      </c>
      <c r="BM81" s="32">
        <f t="shared" si="65"/>
        <v>45.75254568280095</v>
      </c>
      <c r="BN81" s="32">
        <f t="shared" si="66"/>
        <v>48.542335053703447</v>
      </c>
      <c r="BO81" s="32">
        <f t="shared" si="67"/>
        <v>-2.789789370902497</v>
      </c>
      <c r="BP81" s="20">
        <v>7</v>
      </c>
      <c r="BQ81" s="20">
        <v>11</v>
      </c>
      <c r="BR81" s="35">
        <v>87</v>
      </c>
      <c r="BS81" s="35">
        <v>103</v>
      </c>
      <c r="BT81" s="20">
        <v>34</v>
      </c>
      <c r="BU81" s="20">
        <v>33</v>
      </c>
      <c r="BV81" s="20">
        <v>36</v>
      </c>
      <c r="BW81" s="20">
        <v>27</v>
      </c>
      <c r="BX81" s="20">
        <v>73</v>
      </c>
      <c r="BY81" s="20">
        <v>88</v>
      </c>
      <c r="BZ81" s="33">
        <f t="shared" si="68"/>
        <v>0.453416149068323</v>
      </c>
      <c r="CA81" s="23">
        <v>-5.04</v>
      </c>
      <c r="CB81" s="39">
        <f t="shared" si="69"/>
        <v>-0.43848167859480469</v>
      </c>
      <c r="CC81" s="38">
        <f t="shared" si="70"/>
        <v>2.463264851446906</v>
      </c>
      <c r="CD81" s="38">
        <f t="shared" si="71"/>
        <v>2.2785199875883881</v>
      </c>
      <c r="CE81" s="32">
        <f t="shared" si="72"/>
        <v>26.972750123343623</v>
      </c>
      <c r="CF81" s="32">
        <f t="shared" si="73"/>
        <v>28.881780383214977</v>
      </c>
      <c r="CG81" s="32">
        <f t="shared" si="74"/>
        <v>46.370960828488009</v>
      </c>
      <c r="CH81" s="32">
        <f t="shared" si="75"/>
        <v>49.142133786365783</v>
      </c>
      <c r="CI81" s="32">
        <f t="shared" si="76"/>
        <v>-1.8616413024723499E-2</v>
      </c>
      <c r="CJ81">
        <v>974.31666700000005</v>
      </c>
      <c r="CK81">
        <v>40</v>
      </c>
      <c r="CL81">
        <v>37</v>
      </c>
      <c r="CM81" s="35">
        <v>398</v>
      </c>
      <c r="CN81">
        <v>432</v>
      </c>
      <c r="CO81">
        <v>148</v>
      </c>
      <c r="CP81">
        <v>182</v>
      </c>
      <c r="CQ81">
        <v>167</v>
      </c>
      <c r="CR81">
        <v>147</v>
      </c>
      <c r="CS81" s="20">
        <v>1</v>
      </c>
      <c r="CT81" s="20">
        <v>4</v>
      </c>
      <c r="CU81" s="35">
        <f t="shared" si="77"/>
        <v>3</v>
      </c>
      <c r="CV81" s="38">
        <f t="shared" si="78"/>
        <v>0.26455026455026454</v>
      </c>
      <c r="CW81" s="38">
        <f t="shared" si="79"/>
        <v>1.0582010582010581</v>
      </c>
      <c r="CX81" s="38">
        <f t="shared" si="80"/>
        <v>0.79365079365079361</v>
      </c>
      <c r="CY81" s="40">
        <v>6.11</v>
      </c>
      <c r="CZ81" s="40">
        <v>9.2899999999999991</v>
      </c>
      <c r="DA81" s="40">
        <v>5.56</v>
      </c>
      <c r="DB81" s="40">
        <v>7.32</v>
      </c>
      <c r="DC81" s="40">
        <v>4.91</v>
      </c>
      <c r="DD81" s="40">
        <v>5.57</v>
      </c>
      <c r="DE81">
        <v>47</v>
      </c>
      <c r="DF81">
        <v>59</v>
      </c>
      <c r="DG81" s="33">
        <f t="shared" si="81"/>
        <v>0.44339622641509435</v>
      </c>
      <c r="DH81">
        <v>-7.0000000000000007E-2</v>
      </c>
      <c r="DI81">
        <v>-5.42</v>
      </c>
      <c r="DJ81">
        <v>38</v>
      </c>
      <c r="DK81">
        <v>37</v>
      </c>
      <c r="DL81">
        <v>28</v>
      </c>
      <c r="DM81" s="1" t="s">
        <v>464</v>
      </c>
      <c r="DN81" t="s">
        <v>465</v>
      </c>
    </row>
    <row r="82" spans="1:118" ht="26.25" x14ac:dyDescent="0.25">
      <c r="A82" t="s">
        <v>315</v>
      </c>
      <c r="B82" t="s">
        <v>466</v>
      </c>
      <c r="C82" s="1" t="s">
        <v>300</v>
      </c>
      <c r="D82" s="2" t="s">
        <v>3</v>
      </c>
      <c r="E82">
        <v>24</v>
      </c>
      <c r="F82">
        <f>(5/24)</f>
        <v>0.20833333333333334</v>
      </c>
      <c r="G82" t="s">
        <v>539</v>
      </c>
      <c r="H82">
        <f>(66/58)</f>
        <v>1.1379310344827587</v>
      </c>
      <c r="I82">
        <v>2</v>
      </c>
      <c r="J82">
        <v>3</v>
      </c>
      <c r="K82" s="29">
        <f t="shared" si="41"/>
        <v>5</v>
      </c>
      <c r="L82" s="30">
        <f t="shared" si="42"/>
        <v>1.0477299185098952</v>
      </c>
      <c r="M82" s="20"/>
      <c r="N82" s="20"/>
      <c r="O82" s="20"/>
      <c r="P82" s="20"/>
      <c r="Q82" s="20"/>
      <c r="R82" s="20"/>
      <c r="S82" s="20"/>
      <c r="T82" s="31">
        <f t="shared" si="43"/>
        <v>0</v>
      </c>
      <c r="U82" s="31">
        <f t="shared" si="44"/>
        <v>0</v>
      </c>
      <c r="V82">
        <v>17180</v>
      </c>
      <c r="W82" s="32">
        <f t="shared" si="45"/>
        <v>11.930555555555555</v>
      </c>
      <c r="X82" s="23"/>
      <c r="Y82" s="32">
        <f t="shared" si="46"/>
        <v>0</v>
      </c>
      <c r="Z82" s="23"/>
      <c r="AA82" s="32">
        <f t="shared" si="47"/>
        <v>0</v>
      </c>
      <c r="AB82" s="33">
        <f t="shared" si="48"/>
        <v>0</v>
      </c>
      <c r="AC82" s="34">
        <f t="shared" si="49"/>
        <v>0</v>
      </c>
      <c r="AD82" s="20"/>
      <c r="AE82" s="20"/>
      <c r="AF82" s="20"/>
      <c r="AG82" s="20"/>
      <c r="AH82" s="20"/>
      <c r="AI82" s="31">
        <f t="shared" si="50"/>
        <v>0</v>
      </c>
      <c r="AJ82" s="31">
        <f t="shared" si="51"/>
        <v>0</v>
      </c>
      <c r="AK82" s="31">
        <f t="shared" si="52"/>
        <v>0</v>
      </c>
      <c r="AL82" s="20"/>
      <c r="AM82" s="33">
        <f t="shared" si="53"/>
        <v>0</v>
      </c>
      <c r="AN82" s="20"/>
      <c r="AO82" s="33">
        <f t="shared" si="54"/>
        <v>0</v>
      </c>
      <c r="AP82" s="20"/>
      <c r="AQ82" s="33">
        <f t="shared" si="55"/>
        <v>0</v>
      </c>
      <c r="AR82" s="33">
        <f t="shared" si="56"/>
        <v>0</v>
      </c>
      <c r="AS82" s="1">
        <v>1</v>
      </c>
      <c r="AT82" s="23"/>
      <c r="AU82" s="20"/>
      <c r="AV82" s="35">
        <v>15</v>
      </c>
      <c r="AW82" s="36">
        <v>-0.33800000000000002</v>
      </c>
      <c r="AX82" s="1">
        <v>12</v>
      </c>
      <c r="AY82" s="36">
        <v>0.35899999999999999</v>
      </c>
      <c r="AZ82" s="20"/>
      <c r="BA82" s="20"/>
      <c r="BB82" s="36">
        <v>-2.778</v>
      </c>
      <c r="BC82" s="36">
        <v>-7.6349999999999998</v>
      </c>
      <c r="BD82" s="20"/>
      <c r="BE82" s="33">
        <f t="shared" si="57"/>
        <v>0</v>
      </c>
      <c r="BF82" s="37">
        <f t="shared" si="58"/>
        <v>0</v>
      </c>
      <c r="BG82" s="35">
        <f t="shared" si="59"/>
        <v>0</v>
      </c>
      <c r="BH82" s="33">
        <f t="shared" si="60"/>
        <v>-1</v>
      </c>
      <c r="BI82" s="38">
        <f t="shared" si="61"/>
        <v>0</v>
      </c>
      <c r="BJ82" s="38">
        <f t="shared" si="62"/>
        <v>0</v>
      </c>
      <c r="BK82" s="32">
        <f t="shared" si="63"/>
        <v>0</v>
      </c>
      <c r="BL82" s="32">
        <f t="shared" si="64"/>
        <v>0</v>
      </c>
      <c r="BM82" s="32">
        <f t="shared" si="65"/>
        <v>0</v>
      </c>
      <c r="BN82" s="32">
        <f t="shared" si="66"/>
        <v>0</v>
      </c>
      <c r="BO82" s="32">
        <f t="shared" si="67"/>
        <v>0</v>
      </c>
      <c r="BP82" s="20"/>
      <c r="BQ82" s="20"/>
      <c r="BR82" s="35">
        <v>0</v>
      </c>
      <c r="BS82" s="35">
        <v>0</v>
      </c>
      <c r="BT82" s="20">
        <v>0</v>
      </c>
      <c r="BU82" s="20">
        <v>0</v>
      </c>
      <c r="BV82" s="20">
        <v>0</v>
      </c>
      <c r="BW82" s="20">
        <v>0</v>
      </c>
      <c r="BX82" s="20"/>
      <c r="BY82" s="20"/>
      <c r="BZ82" s="33">
        <f t="shared" si="68"/>
        <v>0</v>
      </c>
      <c r="CA82" s="23"/>
      <c r="CB82" s="39">
        <f t="shared" si="69"/>
        <v>19.904000000000003</v>
      </c>
      <c r="CC82" s="38">
        <f t="shared" si="70"/>
        <v>0</v>
      </c>
      <c r="CD82" s="38">
        <f t="shared" si="71"/>
        <v>0</v>
      </c>
      <c r="CE82" s="32">
        <f t="shared" si="72"/>
        <v>0</v>
      </c>
      <c r="CF82" s="32">
        <f t="shared" si="73"/>
        <v>0</v>
      </c>
      <c r="CG82" s="32">
        <f t="shared" si="74"/>
        <v>0</v>
      </c>
      <c r="CH82" s="32">
        <f t="shared" si="75"/>
        <v>0</v>
      </c>
      <c r="CI82" s="32">
        <f t="shared" si="76"/>
        <v>0</v>
      </c>
      <c r="CJ82">
        <v>1151.05</v>
      </c>
      <c r="CK82">
        <v>48</v>
      </c>
      <c r="CL82">
        <v>35</v>
      </c>
      <c r="CM82" s="35">
        <v>482</v>
      </c>
      <c r="CN82">
        <v>576</v>
      </c>
      <c r="CO82">
        <v>211</v>
      </c>
      <c r="CP82">
        <v>211</v>
      </c>
      <c r="CQ82">
        <v>268</v>
      </c>
      <c r="CR82">
        <v>283</v>
      </c>
      <c r="CS82" s="20"/>
      <c r="CT82" s="20"/>
      <c r="CU82" s="35">
        <f t="shared" si="77"/>
        <v>0</v>
      </c>
      <c r="CV82" s="38">
        <f t="shared" si="78"/>
        <v>0</v>
      </c>
      <c r="CW82" s="38">
        <f t="shared" si="79"/>
        <v>0</v>
      </c>
      <c r="CX82" s="38">
        <f t="shared" si="80"/>
        <v>0</v>
      </c>
      <c r="CY82" s="40">
        <v>7.54</v>
      </c>
      <c r="CZ82" s="40">
        <v>7.6</v>
      </c>
      <c r="DA82" s="40">
        <v>7.55</v>
      </c>
      <c r="DB82" s="40">
        <v>4.46</v>
      </c>
      <c r="DC82" s="40">
        <v>6.81</v>
      </c>
      <c r="DD82" s="40">
        <v>9.11</v>
      </c>
      <c r="DE82">
        <v>30</v>
      </c>
      <c r="DF82">
        <v>29</v>
      </c>
      <c r="DG82" s="33">
        <f t="shared" si="81"/>
        <v>0.50847457627118642</v>
      </c>
      <c r="DH82">
        <v>0.09</v>
      </c>
      <c r="DI82">
        <v>-2.85</v>
      </c>
      <c r="DJ82">
        <v>14</v>
      </c>
      <c r="DK82">
        <v>18</v>
      </c>
      <c r="DL82">
        <v>27</v>
      </c>
      <c r="DM82" s="2" t="s">
        <v>467</v>
      </c>
    </row>
    <row r="83" spans="1:118" x14ac:dyDescent="0.25">
      <c r="A83" t="s">
        <v>468</v>
      </c>
      <c r="B83" t="s">
        <v>469</v>
      </c>
      <c r="C83" s="1" t="s">
        <v>295</v>
      </c>
      <c r="D83" s="2" t="s">
        <v>321</v>
      </c>
      <c r="E83">
        <v>11</v>
      </c>
      <c r="F83">
        <f>(5/11)</f>
        <v>0.45454545454545453</v>
      </c>
      <c r="G83" t="s">
        <v>537</v>
      </c>
      <c r="H83">
        <f>(32/57)</f>
        <v>0.56140350877192979</v>
      </c>
      <c r="I83">
        <v>1</v>
      </c>
      <c r="J83">
        <v>3</v>
      </c>
      <c r="K83" s="29">
        <f t="shared" si="41"/>
        <v>4</v>
      </c>
      <c r="L83" s="30">
        <f t="shared" si="42"/>
        <v>1.5527280569333621</v>
      </c>
      <c r="M83" s="20">
        <v>1</v>
      </c>
      <c r="N83" s="20">
        <v>1</v>
      </c>
      <c r="O83" s="20">
        <v>2</v>
      </c>
      <c r="P83" s="20">
        <v>26</v>
      </c>
      <c r="Q83" s="20">
        <v>7</v>
      </c>
      <c r="R83" s="20">
        <v>11</v>
      </c>
      <c r="S83" s="20">
        <v>28</v>
      </c>
      <c r="T83" s="31">
        <f t="shared" si="43"/>
        <v>3.8461538461538464E-2</v>
      </c>
      <c r="U83" s="31">
        <f t="shared" si="44"/>
        <v>2.2727272727272728E-2</v>
      </c>
      <c r="V83">
        <v>9274</v>
      </c>
      <c r="W83" s="32">
        <f t="shared" si="45"/>
        <v>14.051515151515153</v>
      </c>
      <c r="X83" s="23">
        <v>149.57</v>
      </c>
      <c r="Y83" s="32">
        <f t="shared" si="46"/>
        <v>13.597272727272726</v>
      </c>
      <c r="Z83" s="23">
        <v>389.55</v>
      </c>
      <c r="AA83" s="32">
        <f t="shared" si="47"/>
        <v>35.413636363636364</v>
      </c>
      <c r="AB83" s="33">
        <f t="shared" si="48"/>
        <v>0.27743359548894492</v>
      </c>
      <c r="AC83" s="34">
        <f t="shared" si="49"/>
        <v>19.5</v>
      </c>
      <c r="AD83" s="20">
        <v>6</v>
      </c>
      <c r="AE83" s="20">
        <v>34</v>
      </c>
      <c r="AF83" s="20">
        <v>27</v>
      </c>
      <c r="AG83" s="20">
        <v>3</v>
      </c>
      <c r="AH83" s="20">
        <v>2</v>
      </c>
      <c r="AI83" s="31">
        <f t="shared" si="50"/>
        <v>0.25</v>
      </c>
      <c r="AJ83" s="31">
        <f t="shared" si="51"/>
        <v>0.75</v>
      </c>
      <c r="AK83" s="31">
        <f t="shared" si="52"/>
        <v>1</v>
      </c>
      <c r="AL83" s="20">
        <v>48</v>
      </c>
      <c r="AM83" s="33">
        <f t="shared" si="53"/>
        <v>0.34532374100719426</v>
      </c>
      <c r="AN83" s="20">
        <v>45</v>
      </c>
      <c r="AO83" s="33">
        <f t="shared" si="54"/>
        <v>0.32374100719424459</v>
      </c>
      <c r="AP83" s="20">
        <v>46</v>
      </c>
      <c r="AQ83" s="33">
        <f t="shared" si="55"/>
        <v>0.33093525179856115</v>
      </c>
      <c r="AR83" s="33">
        <f t="shared" si="56"/>
        <v>0.5161290322580645</v>
      </c>
      <c r="AS83" s="1">
        <v>12</v>
      </c>
      <c r="AT83" s="23">
        <v>3.1</v>
      </c>
      <c r="AU83" s="20">
        <v>18.059999999999999</v>
      </c>
      <c r="AV83" s="35">
        <v>1</v>
      </c>
      <c r="AW83" s="36">
        <v>1.496</v>
      </c>
      <c r="AX83" s="1">
        <v>1</v>
      </c>
      <c r="AY83" s="36">
        <v>-0.47100000000000003</v>
      </c>
      <c r="AZ83" s="20">
        <v>49.68</v>
      </c>
      <c r="BA83" s="20">
        <v>19.22</v>
      </c>
      <c r="BB83" s="36">
        <v>2.125</v>
      </c>
      <c r="BC83" s="36">
        <v>6.2450000000000001</v>
      </c>
      <c r="BD83" s="20">
        <v>52.79</v>
      </c>
      <c r="BE83" s="33">
        <f t="shared" si="57"/>
        <v>5.128205128205128E-2</v>
      </c>
      <c r="BF83" s="37">
        <f t="shared" si="58"/>
        <v>0.87096774193548387</v>
      </c>
      <c r="BG83" s="35">
        <f t="shared" si="59"/>
        <v>922.24979321753517</v>
      </c>
      <c r="BH83" s="33">
        <f t="shared" si="60"/>
        <v>-7.7750206782464845E-2</v>
      </c>
      <c r="BI83" s="38">
        <f t="shared" si="61"/>
        <v>1.6045998529116803</v>
      </c>
      <c r="BJ83" s="38">
        <f t="shared" si="62"/>
        <v>3.2091997058233606</v>
      </c>
      <c r="BK83" s="32">
        <f t="shared" si="63"/>
        <v>31.289697131777764</v>
      </c>
      <c r="BL83" s="32">
        <f t="shared" si="64"/>
        <v>24.871297720131043</v>
      </c>
      <c r="BM83" s="32">
        <f t="shared" si="65"/>
        <v>63.782844153239296</v>
      </c>
      <c r="BN83" s="32">
        <f t="shared" si="66"/>
        <v>55.759844888680888</v>
      </c>
      <c r="BO83" s="32">
        <f t="shared" si="67"/>
        <v>8.0229992645584076</v>
      </c>
      <c r="BP83" s="20">
        <v>4</v>
      </c>
      <c r="BQ83" s="20">
        <v>8</v>
      </c>
      <c r="BR83" s="35">
        <v>74</v>
      </c>
      <c r="BS83" s="35">
        <v>54</v>
      </c>
      <c r="BT83" s="20">
        <v>34</v>
      </c>
      <c r="BU83" s="20">
        <v>33</v>
      </c>
      <c r="BV83" s="20">
        <v>47</v>
      </c>
      <c r="BW83" s="20">
        <v>44</v>
      </c>
      <c r="BX83" s="20">
        <v>79</v>
      </c>
      <c r="BY83" s="20">
        <v>63</v>
      </c>
      <c r="BZ83" s="33">
        <f t="shared" si="68"/>
        <v>0.55633802816901412</v>
      </c>
      <c r="CA83" s="23">
        <v>1.21</v>
      </c>
      <c r="CB83" s="39">
        <f t="shared" si="69"/>
        <v>0.82990249036485952</v>
      </c>
      <c r="CC83" s="38">
        <f t="shared" si="70"/>
        <v>1.5680418144483852</v>
      </c>
      <c r="CD83" s="38">
        <f t="shared" si="71"/>
        <v>2.2400597349262643</v>
      </c>
      <c r="CE83" s="32">
        <f t="shared" si="72"/>
        <v>30.016800448011946</v>
      </c>
      <c r="CF83" s="32">
        <f t="shared" si="73"/>
        <v>27.664737726339368</v>
      </c>
      <c r="CG83" s="32">
        <f t="shared" si="74"/>
        <v>62.273660630950154</v>
      </c>
      <c r="CH83" s="32">
        <f t="shared" si="75"/>
        <v>53.201418704498785</v>
      </c>
      <c r="CI83" s="32">
        <f t="shared" si="76"/>
        <v>-1.0492426618929613</v>
      </c>
      <c r="CJ83">
        <v>535.70000000000005</v>
      </c>
      <c r="CK83">
        <v>14</v>
      </c>
      <c r="CL83">
        <v>20</v>
      </c>
      <c r="CM83" s="35">
        <v>254</v>
      </c>
      <c r="CN83">
        <v>227</v>
      </c>
      <c r="CO83">
        <v>132</v>
      </c>
      <c r="CP83">
        <v>108</v>
      </c>
      <c r="CQ83">
        <v>156</v>
      </c>
      <c r="CR83">
        <v>120</v>
      </c>
      <c r="CS83" s="20">
        <v>2</v>
      </c>
      <c r="CT83" s="20">
        <v>3</v>
      </c>
      <c r="CU83" s="35">
        <f t="shared" si="77"/>
        <v>1</v>
      </c>
      <c r="CV83" s="38">
        <f t="shared" si="78"/>
        <v>0.77636402846668084</v>
      </c>
      <c r="CW83" s="38">
        <f t="shared" si="79"/>
        <v>1.1645460427000214</v>
      </c>
      <c r="CX83" s="38">
        <f t="shared" si="80"/>
        <v>0.38818201423334042</v>
      </c>
      <c r="CY83" s="40">
        <v>5.54</v>
      </c>
      <c r="CZ83" s="40">
        <v>5.18</v>
      </c>
      <c r="DA83" s="40">
        <v>2.87</v>
      </c>
      <c r="DB83" s="40">
        <v>9.1199999999999992</v>
      </c>
      <c r="DC83" s="40">
        <v>6.59</v>
      </c>
      <c r="DD83" s="40">
        <v>7.39</v>
      </c>
      <c r="DE83">
        <v>0</v>
      </c>
      <c r="DF83">
        <v>1</v>
      </c>
      <c r="DG83" s="33">
        <f t="shared" si="81"/>
        <v>0</v>
      </c>
      <c r="DH83">
        <v>0.01</v>
      </c>
      <c r="DI83">
        <v>0.24</v>
      </c>
      <c r="DJ83">
        <v>0</v>
      </c>
      <c r="DK83">
        <v>0</v>
      </c>
      <c r="DL83">
        <v>1</v>
      </c>
      <c r="DM83" s="1" t="s">
        <v>470</v>
      </c>
      <c r="DN83" t="s">
        <v>471</v>
      </c>
    </row>
    <row r="84" spans="1:118" x14ac:dyDescent="0.25">
      <c r="A84" t="s">
        <v>472</v>
      </c>
      <c r="B84" t="s">
        <v>473</v>
      </c>
      <c r="C84" s="1" t="s">
        <v>295</v>
      </c>
      <c r="D84" s="2" t="s">
        <v>125</v>
      </c>
      <c r="E84">
        <v>56</v>
      </c>
      <c r="F84">
        <f>(5/56)</f>
        <v>8.9285714285714288E-2</v>
      </c>
      <c r="G84" t="s">
        <v>544</v>
      </c>
      <c r="H84">
        <f>(42/46)</f>
        <v>0.91304347826086951</v>
      </c>
      <c r="I84">
        <v>2</v>
      </c>
      <c r="J84">
        <v>3</v>
      </c>
      <c r="K84" s="29">
        <f t="shared" si="41"/>
        <v>5</v>
      </c>
      <c r="L84" s="30">
        <f t="shared" si="42"/>
        <v>0.54908181319016525</v>
      </c>
      <c r="M84" s="20">
        <v>2</v>
      </c>
      <c r="N84" s="20">
        <v>3</v>
      </c>
      <c r="O84" s="20">
        <v>0</v>
      </c>
      <c r="P84" s="20">
        <v>50</v>
      </c>
      <c r="Q84" s="20">
        <v>25</v>
      </c>
      <c r="R84" s="20">
        <v>21</v>
      </c>
      <c r="S84" s="20">
        <v>60</v>
      </c>
      <c r="T84" s="31">
        <f t="shared" si="43"/>
        <v>0.04</v>
      </c>
      <c r="U84" s="31">
        <f t="shared" si="44"/>
        <v>2.0833333333333332E-2</v>
      </c>
      <c r="V84">
        <v>32782</v>
      </c>
      <c r="W84" s="32">
        <f t="shared" si="45"/>
        <v>9.7565476190476179</v>
      </c>
      <c r="X84" s="23">
        <v>520.61</v>
      </c>
      <c r="Y84" s="32">
        <f t="shared" si="46"/>
        <v>9.2966071428571428</v>
      </c>
      <c r="Z84" s="23">
        <v>2123.73</v>
      </c>
      <c r="AA84" s="32">
        <f t="shared" si="47"/>
        <v>37.923749999999998</v>
      </c>
      <c r="AB84" s="33">
        <f t="shared" si="48"/>
        <v>0.19687710354946794</v>
      </c>
      <c r="AC84" s="34">
        <f t="shared" si="49"/>
        <v>50.571428571428569</v>
      </c>
      <c r="AD84" s="20">
        <v>12</v>
      </c>
      <c r="AE84" s="20">
        <v>46</v>
      </c>
      <c r="AF84" s="20">
        <v>70</v>
      </c>
      <c r="AG84" s="20">
        <v>7</v>
      </c>
      <c r="AH84" s="20">
        <v>15</v>
      </c>
      <c r="AI84" s="31">
        <f t="shared" si="50"/>
        <v>0.14285714285714285</v>
      </c>
      <c r="AJ84" s="31">
        <f t="shared" si="51"/>
        <v>0.21428571428571427</v>
      </c>
      <c r="AK84" s="31">
        <f t="shared" si="52"/>
        <v>0.3571428571428571</v>
      </c>
      <c r="AL84" s="20">
        <v>106</v>
      </c>
      <c r="AM84" s="33">
        <f t="shared" si="53"/>
        <v>0.21242484969939879</v>
      </c>
      <c r="AN84" s="20">
        <v>231</v>
      </c>
      <c r="AO84" s="33">
        <f t="shared" si="54"/>
        <v>0.46292585170340683</v>
      </c>
      <c r="AP84" s="20">
        <v>162</v>
      </c>
      <c r="AQ84" s="33">
        <f t="shared" si="55"/>
        <v>0.32464929859719438</v>
      </c>
      <c r="AR84" s="33">
        <f t="shared" si="56"/>
        <v>0.31454005934718099</v>
      </c>
      <c r="AS84" s="1">
        <v>1</v>
      </c>
      <c r="AT84" s="23">
        <v>-22.48</v>
      </c>
      <c r="AU84" s="20">
        <v>16.68</v>
      </c>
      <c r="AV84" s="35">
        <v>15</v>
      </c>
      <c r="AW84" s="36">
        <v>-1.486</v>
      </c>
      <c r="AX84" s="1">
        <v>16</v>
      </c>
      <c r="AY84" s="36">
        <v>-1.9470000000000001</v>
      </c>
      <c r="AZ84" s="20">
        <v>49.62</v>
      </c>
      <c r="BA84" s="20">
        <v>16.440000000000001</v>
      </c>
      <c r="BB84" s="36">
        <v>-0.73499999999999999</v>
      </c>
      <c r="BC84" s="36">
        <v>3.427</v>
      </c>
      <c r="BD84" s="20">
        <v>49.65</v>
      </c>
      <c r="BE84" s="33">
        <f t="shared" si="57"/>
        <v>5.9322033898305086E-2</v>
      </c>
      <c r="BF84" s="37">
        <f t="shared" si="58"/>
        <v>0.90400000000000003</v>
      </c>
      <c r="BG84" s="35">
        <f t="shared" si="59"/>
        <v>963.32203389830511</v>
      </c>
      <c r="BH84" s="33">
        <f t="shared" si="60"/>
        <v>-3.6677966101694888E-2</v>
      </c>
      <c r="BI84" s="38">
        <f t="shared" si="61"/>
        <v>1.6134918653118457</v>
      </c>
      <c r="BJ84" s="38">
        <f t="shared" si="62"/>
        <v>2.7659860548203072</v>
      </c>
      <c r="BK84" s="32">
        <f t="shared" si="63"/>
        <v>27.198862872399683</v>
      </c>
      <c r="BL84" s="32">
        <f t="shared" si="64"/>
        <v>28.81235473771153</v>
      </c>
      <c r="BM84" s="32">
        <f t="shared" si="65"/>
        <v>51.862238527880749</v>
      </c>
      <c r="BN84" s="32">
        <f t="shared" si="66"/>
        <v>54.512975163750212</v>
      </c>
      <c r="BO84" s="32">
        <f t="shared" si="67"/>
        <v>-2.650736635869464</v>
      </c>
      <c r="BP84" s="20">
        <v>14</v>
      </c>
      <c r="BQ84" s="20">
        <v>24</v>
      </c>
      <c r="BR84" s="35">
        <v>222</v>
      </c>
      <c r="BS84" s="35">
        <v>226</v>
      </c>
      <c r="BT84" s="20">
        <v>89</v>
      </c>
      <c r="BU84" s="20">
        <v>115</v>
      </c>
      <c r="BV84" s="20">
        <v>125</v>
      </c>
      <c r="BW84" s="20">
        <v>108</v>
      </c>
      <c r="BX84" s="20">
        <v>233</v>
      </c>
      <c r="BY84" s="20">
        <v>233</v>
      </c>
      <c r="BZ84" s="33">
        <f t="shared" si="68"/>
        <v>0.5</v>
      </c>
      <c r="CA84" s="23">
        <v>-1</v>
      </c>
      <c r="CB84" s="39">
        <f t="shared" si="69"/>
        <v>-3.6636980602018072</v>
      </c>
      <c r="CC84" s="38">
        <f t="shared" si="70"/>
        <v>1.8875075803517283</v>
      </c>
      <c r="CD84" s="38">
        <f t="shared" si="71"/>
        <v>2.7289266221952699</v>
      </c>
      <c r="CE84" s="32">
        <f t="shared" si="72"/>
        <v>29.131291691934507</v>
      </c>
      <c r="CF84" s="32">
        <f t="shared" si="73"/>
        <v>31.087022437841114</v>
      </c>
      <c r="CG84" s="32">
        <f t="shared" si="74"/>
        <v>58.7856276531231</v>
      </c>
      <c r="CH84" s="32">
        <f t="shared" si="75"/>
        <v>56.056701030927833</v>
      </c>
      <c r="CI84" s="32">
        <f t="shared" si="76"/>
        <v>-5.3796632580647312</v>
      </c>
      <c r="CJ84">
        <v>2638.4</v>
      </c>
      <c r="CK84">
        <v>83</v>
      </c>
      <c r="CL84">
        <v>120</v>
      </c>
      <c r="CM84" s="35">
        <v>1198</v>
      </c>
      <c r="CN84">
        <v>1247</v>
      </c>
      <c r="CO84">
        <v>612</v>
      </c>
      <c r="CP84">
        <v>560</v>
      </c>
      <c r="CQ84">
        <v>692</v>
      </c>
      <c r="CR84">
        <v>538</v>
      </c>
      <c r="CS84" s="20">
        <v>6</v>
      </c>
      <c r="CT84" s="20">
        <v>5</v>
      </c>
      <c r="CU84" s="35">
        <f t="shared" si="77"/>
        <v>-1</v>
      </c>
      <c r="CV84" s="38">
        <f t="shared" si="78"/>
        <v>0.65889817582819854</v>
      </c>
      <c r="CW84" s="38">
        <f t="shared" si="79"/>
        <v>0.54908181319016547</v>
      </c>
      <c r="CX84" s="38">
        <f t="shared" si="80"/>
        <v>-0.10981636263803309</v>
      </c>
      <c r="CY84" s="40">
        <v>19.510000000000002</v>
      </c>
      <c r="CZ84" s="40">
        <v>17.37</v>
      </c>
      <c r="DA84" s="40">
        <v>15.98</v>
      </c>
      <c r="DB84" s="40">
        <v>23.63</v>
      </c>
      <c r="DC84" s="40">
        <v>19.47</v>
      </c>
      <c r="DD84" s="40">
        <v>21.79</v>
      </c>
      <c r="DE84">
        <v>228</v>
      </c>
      <c r="DF84">
        <v>243</v>
      </c>
      <c r="DG84" s="33">
        <f t="shared" si="81"/>
        <v>0.48407643312101911</v>
      </c>
      <c r="DH84">
        <v>-0.19</v>
      </c>
      <c r="DI84">
        <v>-17.989999999999998</v>
      </c>
      <c r="DJ84">
        <v>91</v>
      </c>
      <c r="DK84">
        <v>153</v>
      </c>
      <c r="DL84">
        <v>211</v>
      </c>
      <c r="DM84" s="1" t="s">
        <v>474</v>
      </c>
      <c r="DN84" t="s">
        <v>475</v>
      </c>
    </row>
    <row r="85" spans="1:118" x14ac:dyDescent="0.25">
      <c r="A85" t="s">
        <v>134</v>
      </c>
      <c r="B85" t="s">
        <v>476</v>
      </c>
      <c r="C85" s="1" t="s">
        <v>403</v>
      </c>
      <c r="D85" s="2" t="s">
        <v>125</v>
      </c>
      <c r="E85">
        <v>23</v>
      </c>
      <c r="F85">
        <f>(5/23)</f>
        <v>0.21739130434782608</v>
      </c>
      <c r="G85" t="s">
        <v>544</v>
      </c>
      <c r="H85">
        <f>(47/73)</f>
        <v>0.64383561643835618</v>
      </c>
      <c r="I85">
        <v>1</v>
      </c>
      <c r="J85">
        <v>4</v>
      </c>
      <c r="K85" s="29">
        <f t="shared" si="41"/>
        <v>5</v>
      </c>
      <c r="L85" s="30">
        <f t="shared" si="42"/>
        <v>1.5193719929095972</v>
      </c>
      <c r="M85" s="20">
        <v>1</v>
      </c>
      <c r="N85" s="20">
        <v>4</v>
      </c>
      <c r="O85" s="20">
        <v>0</v>
      </c>
      <c r="P85" s="20">
        <v>10</v>
      </c>
      <c r="Q85" s="20">
        <v>4</v>
      </c>
      <c r="R85" s="20">
        <v>1</v>
      </c>
      <c r="S85" s="20">
        <v>8</v>
      </c>
      <c r="T85" s="31">
        <f t="shared" si="43"/>
        <v>0.1</v>
      </c>
      <c r="U85" s="31">
        <f t="shared" si="44"/>
        <v>6.6666666666666666E-2</v>
      </c>
      <c r="V85">
        <v>11847</v>
      </c>
      <c r="W85" s="32">
        <f t="shared" si="45"/>
        <v>8.5847826086956527</v>
      </c>
      <c r="X85" s="23">
        <v>196.39</v>
      </c>
      <c r="Y85" s="32">
        <f t="shared" si="46"/>
        <v>8.5386956521739119</v>
      </c>
      <c r="Z85" s="23">
        <v>874.14</v>
      </c>
      <c r="AA85" s="32">
        <f t="shared" si="47"/>
        <v>38.006086956521742</v>
      </c>
      <c r="AB85" s="33">
        <f t="shared" si="48"/>
        <v>0.18345118772944238</v>
      </c>
      <c r="AC85" s="34">
        <f t="shared" si="49"/>
        <v>59.199999999999996</v>
      </c>
      <c r="AD85" s="20">
        <v>5</v>
      </c>
      <c r="AE85" s="20">
        <v>45</v>
      </c>
      <c r="AF85" s="20">
        <v>34</v>
      </c>
      <c r="AG85" s="20">
        <v>3</v>
      </c>
      <c r="AH85" s="20">
        <v>4</v>
      </c>
      <c r="AI85" s="31">
        <f t="shared" si="50"/>
        <v>0.2</v>
      </c>
      <c r="AJ85" s="31">
        <f t="shared" si="51"/>
        <v>0.8</v>
      </c>
      <c r="AK85" s="31">
        <f t="shared" si="52"/>
        <v>1</v>
      </c>
      <c r="AL85" s="20">
        <v>60</v>
      </c>
      <c r="AM85" s="33">
        <f t="shared" si="53"/>
        <v>0.39215686274509803</v>
      </c>
      <c r="AN85" s="20">
        <v>47</v>
      </c>
      <c r="AO85" s="33">
        <f t="shared" si="54"/>
        <v>0.30718954248366015</v>
      </c>
      <c r="AP85" s="20">
        <v>46</v>
      </c>
      <c r="AQ85" s="33">
        <f t="shared" si="55"/>
        <v>0.30065359477124182</v>
      </c>
      <c r="AR85" s="33">
        <f t="shared" si="56"/>
        <v>0.56074766355140182</v>
      </c>
      <c r="AS85" s="1">
        <v>15</v>
      </c>
      <c r="AT85" s="23">
        <v>9.2200000000000006</v>
      </c>
      <c r="AU85" s="20">
        <v>16.86</v>
      </c>
      <c r="AV85" s="35">
        <v>15</v>
      </c>
      <c r="AW85" s="36">
        <v>-0.19400000000000001</v>
      </c>
      <c r="AX85" s="1">
        <v>16</v>
      </c>
      <c r="AY85" s="36">
        <v>-0.42299999999999999</v>
      </c>
      <c r="AZ85" s="20">
        <v>49.97</v>
      </c>
      <c r="BA85" s="20">
        <v>16.43</v>
      </c>
      <c r="BB85" s="36">
        <v>-2.9910000000000001</v>
      </c>
      <c r="BC85" s="36">
        <v>-5.21</v>
      </c>
      <c r="BD85" s="20">
        <v>49.3</v>
      </c>
      <c r="BE85" s="33">
        <f t="shared" si="57"/>
        <v>6.7567567567567571E-2</v>
      </c>
      <c r="BF85" s="37">
        <f t="shared" si="58"/>
        <v>0.95604395604395609</v>
      </c>
      <c r="BG85" s="35">
        <f t="shared" si="59"/>
        <v>1023.6115236115237</v>
      </c>
      <c r="BH85" s="33">
        <f t="shared" si="60"/>
        <v>2.361152361152366E-2</v>
      </c>
      <c r="BI85" s="38">
        <f t="shared" si="61"/>
        <v>1.5275726870003565</v>
      </c>
      <c r="BJ85" s="38">
        <f t="shared" si="62"/>
        <v>1.2220581496002851</v>
      </c>
      <c r="BK85" s="32">
        <f t="shared" si="63"/>
        <v>22.608075767605278</v>
      </c>
      <c r="BL85" s="32">
        <f t="shared" si="64"/>
        <v>27.801822903406489</v>
      </c>
      <c r="BM85" s="32">
        <f t="shared" si="65"/>
        <v>35.745200875808344</v>
      </c>
      <c r="BN85" s="32">
        <f t="shared" si="66"/>
        <v>52.24298589541219</v>
      </c>
      <c r="BO85" s="32">
        <f t="shared" si="67"/>
        <v>-16.497785019603846</v>
      </c>
      <c r="BP85" s="20">
        <v>5</v>
      </c>
      <c r="BQ85" s="20">
        <v>4</v>
      </c>
      <c r="BR85" s="35">
        <v>69</v>
      </c>
      <c r="BS85" s="35">
        <v>87</v>
      </c>
      <c r="BT85" s="20">
        <v>30</v>
      </c>
      <c r="BU85" s="20">
        <v>36</v>
      </c>
      <c r="BV85" s="20">
        <v>13</v>
      </c>
      <c r="BW85" s="20">
        <v>44</v>
      </c>
      <c r="BX85" s="20">
        <v>46</v>
      </c>
      <c r="BY85" s="20">
        <v>83</v>
      </c>
      <c r="BZ85" s="33">
        <f t="shared" si="68"/>
        <v>0.35658914728682173</v>
      </c>
      <c r="CA85" s="23">
        <v>-17.87</v>
      </c>
      <c r="CB85" s="39">
        <f t="shared" si="69"/>
        <v>-13.258728944837486</v>
      </c>
      <c r="CC85" s="38">
        <f t="shared" si="70"/>
        <v>2.3035864781346564</v>
      </c>
      <c r="CD85" s="38">
        <f t="shared" si="71"/>
        <v>1.40462590130162</v>
      </c>
      <c r="CE85" s="32">
        <f t="shared" si="72"/>
        <v>27.305927521303488</v>
      </c>
      <c r="CF85" s="32">
        <f t="shared" si="73"/>
        <v>27.699222773667945</v>
      </c>
      <c r="CG85" s="32">
        <f t="shared" si="74"/>
        <v>46.63357992321378</v>
      </c>
      <c r="CH85" s="32">
        <f t="shared" si="75"/>
        <v>50.847457627118644</v>
      </c>
      <c r="CI85" s="32">
        <f t="shared" si="76"/>
        <v>-12.283907315698983</v>
      </c>
      <c r="CJ85">
        <v>1067.9000000000001</v>
      </c>
      <c r="CK85">
        <v>41</v>
      </c>
      <c r="CL85">
        <v>25</v>
      </c>
      <c r="CM85" s="35">
        <v>445</v>
      </c>
      <c r="CN85">
        <v>468</v>
      </c>
      <c r="CO85">
        <v>180</v>
      </c>
      <c r="CP85">
        <v>205</v>
      </c>
      <c r="CQ85">
        <v>164</v>
      </c>
      <c r="CR85">
        <v>207</v>
      </c>
      <c r="CS85" s="20">
        <v>3</v>
      </c>
      <c r="CT85" s="20">
        <v>1</v>
      </c>
      <c r="CU85" s="35">
        <f t="shared" si="77"/>
        <v>-2</v>
      </c>
      <c r="CV85" s="38">
        <f t="shared" si="78"/>
        <v>0.91162319574575834</v>
      </c>
      <c r="CW85" s="38">
        <f t="shared" si="79"/>
        <v>0.30387439858191945</v>
      </c>
      <c r="CX85" s="38">
        <f t="shared" si="80"/>
        <v>-0.60774879716383889</v>
      </c>
      <c r="CY85" s="40">
        <v>4.82</v>
      </c>
      <c r="CZ85" s="40">
        <v>6.96</v>
      </c>
      <c r="DA85" s="40">
        <v>5.05</v>
      </c>
      <c r="DB85" s="40">
        <v>12.9</v>
      </c>
      <c r="DC85" s="40">
        <v>5.07</v>
      </c>
      <c r="DD85" s="40">
        <v>9.17</v>
      </c>
      <c r="DE85">
        <v>0</v>
      </c>
      <c r="DF85">
        <v>0</v>
      </c>
      <c r="DG85" s="33" t="str">
        <f t="shared" si="81"/>
        <v xml:space="preserve"> </v>
      </c>
      <c r="DH85">
        <v>0</v>
      </c>
      <c r="DI85">
        <v>0</v>
      </c>
      <c r="DJ85">
        <v>0</v>
      </c>
      <c r="DK85">
        <v>0</v>
      </c>
      <c r="DL85">
        <v>0</v>
      </c>
      <c r="DM85" s="1" t="s">
        <v>477</v>
      </c>
      <c r="DN85" t="s">
        <v>478</v>
      </c>
    </row>
    <row r="86" spans="1:118" x14ac:dyDescent="0.25">
      <c r="A86" t="s">
        <v>479</v>
      </c>
      <c r="B86" t="s">
        <v>480</v>
      </c>
      <c r="C86" s="1" t="s">
        <v>229</v>
      </c>
      <c r="D86" s="2" t="s">
        <v>142</v>
      </c>
      <c r="E86">
        <v>13</v>
      </c>
      <c r="F86">
        <f>(5/13)</f>
        <v>0.38461538461538464</v>
      </c>
      <c r="G86" t="s">
        <v>544</v>
      </c>
      <c r="H86">
        <f>(17/71)</f>
        <v>0.23943661971830985</v>
      </c>
      <c r="I86">
        <v>1</v>
      </c>
      <c r="J86">
        <v>4</v>
      </c>
      <c r="K86" s="29">
        <f t="shared" si="41"/>
        <v>5</v>
      </c>
      <c r="L86" s="30">
        <f t="shared" si="42"/>
        <v>1.6417365924844947</v>
      </c>
      <c r="M86" s="20">
        <v>1</v>
      </c>
      <c r="N86" s="20">
        <v>2</v>
      </c>
      <c r="O86" s="20">
        <v>2</v>
      </c>
      <c r="P86" s="20">
        <v>12</v>
      </c>
      <c r="Q86" s="20">
        <v>5</v>
      </c>
      <c r="R86" s="20">
        <v>6</v>
      </c>
      <c r="S86" s="20">
        <v>5</v>
      </c>
      <c r="T86" s="31">
        <f t="shared" si="43"/>
        <v>8.3333333333333329E-2</v>
      </c>
      <c r="U86" s="31">
        <f t="shared" si="44"/>
        <v>4.3478260869565216E-2</v>
      </c>
      <c r="V86">
        <v>10964</v>
      </c>
      <c r="W86" s="32">
        <f t="shared" si="45"/>
        <v>14.056410256410256</v>
      </c>
      <c r="X86" s="23">
        <v>168.97</v>
      </c>
      <c r="Y86" s="32">
        <f t="shared" si="46"/>
        <v>12.997692307692308</v>
      </c>
      <c r="Z86" s="23">
        <v>465.89</v>
      </c>
      <c r="AA86" s="32">
        <f t="shared" si="47"/>
        <v>35.837692307692308</v>
      </c>
      <c r="AB86" s="33">
        <f t="shared" si="48"/>
        <v>0.26615316762750846</v>
      </c>
      <c r="AC86" s="34">
        <f t="shared" si="49"/>
        <v>20.666666666666668</v>
      </c>
      <c r="AD86" s="20">
        <v>12</v>
      </c>
      <c r="AE86" s="20">
        <v>34</v>
      </c>
      <c r="AF86" s="20">
        <v>28</v>
      </c>
      <c r="AG86" s="20">
        <v>12</v>
      </c>
      <c r="AH86" s="20">
        <v>3</v>
      </c>
      <c r="AI86" s="31">
        <f t="shared" si="50"/>
        <v>0.1111111111111111</v>
      </c>
      <c r="AJ86" s="31">
        <f t="shared" si="51"/>
        <v>0.44444444444444442</v>
      </c>
      <c r="AK86" s="31">
        <f t="shared" si="52"/>
        <v>0.55555555555555558</v>
      </c>
      <c r="AL86" s="20">
        <v>55</v>
      </c>
      <c r="AM86" s="33">
        <f t="shared" si="53"/>
        <v>0.3235294117647059</v>
      </c>
      <c r="AN86" s="20">
        <v>54</v>
      </c>
      <c r="AO86" s="33">
        <f t="shared" si="54"/>
        <v>0.31764705882352939</v>
      </c>
      <c r="AP86" s="20">
        <v>61</v>
      </c>
      <c r="AQ86" s="33">
        <f t="shared" si="55"/>
        <v>0.35882352941176471</v>
      </c>
      <c r="AR86" s="33">
        <f t="shared" si="56"/>
        <v>0.50458715596330272</v>
      </c>
      <c r="AS86" s="1">
        <v>6</v>
      </c>
      <c r="AT86" s="23">
        <v>2.68</v>
      </c>
      <c r="AU86" s="20">
        <v>16.88</v>
      </c>
      <c r="AV86" s="35">
        <v>9</v>
      </c>
      <c r="AW86" s="36">
        <v>0.14499999999999999</v>
      </c>
      <c r="AX86" s="1">
        <v>5</v>
      </c>
      <c r="AY86" s="36">
        <v>9.0000000000000011E-3</v>
      </c>
      <c r="AZ86" s="20">
        <v>50.1</v>
      </c>
      <c r="BA86" s="20">
        <v>15.63</v>
      </c>
      <c r="BB86" s="36">
        <v>0.14300000000000002</v>
      </c>
      <c r="BC86" s="36">
        <v>0.29599999999999999</v>
      </c>
      <c r="BD86" s="20">
        <v>49.66</v>
      </c>
      <c r="BE86" s="33">
        <f t="shared" si="57"/>
        <v>9.6774193548387094E-2</v>
      </c>
      <c r="BF86" s="37">
        <f t="shared" si="58"/>
        <v>0.89610389610389607</v>
      </c>
      <c r="BG86" s="35">
        <f t="shared" si="59"/>
        <v>992.87808965228317</v>
      </c>
      <c r="BH86" s="33">
        <f t="shared" si="60"/>
        <v>-7.1219103477168366E-3</v>
      </c>
      <c r="BI86" s="38">
        <f t="shared" si="61"/>
        <v>3.1958335799254303</v>
      </c>
      <c r="BJ86" s="38">
        <f t="shared" si="62"/>
        <v>2.8407409599337159</v>
      </c>
      <c r="BK86" s="32">
        <f t="shared" si="63"/>
        <v>33.023613659229454</v>
      </c>
      <c r="BL86" s="32">
        <f t="shared" si="64"/>
        <v>27.342131739362017</v>
      </c>
      <c r="BM86" s="32">
        <f t="shared" si="65"/>
        <v>55.749541338699174</v>
      </c>
      <c r="BN86" s="32">
        <f t="shared" si="66"/>
        <v>52.908800378765463</v>
      </c>
      <c r="BO86" s="32">
        <f t="shared" si="67"/>
        <v>2.8407409599337115</v>
      </c>
      <c r="BP86" s="20">
        <v>9</v>
      </c>
      <c r="BQ86" s="20">
        <v>8</v>
      </c>
      <c r="BR86" s="35">
        <v>84</v>
      </c>
      <c r="BS86" s="35">
        <v>69</v>
      </c>
      <c r="BT86" s="20">
        <v>30</v>
      </c>
      <c r="BU86" s="20">
        <v>25</v>
      </c>
      <c r="BV86" s="20">
        <v>34</v>
      </c>
      <c r="BW86" s="20">
        <v>47</v>
      </c>
      <c r="BX86" s="20">
        <v>72</v>
      </c>
      <c r="BY86" s="20">
        <v>70</v>
      </c>
      <c r="BZ86" s="33">
        <f t="shared" si="68"/>
        <v>0.50704225352112675</v>
      </c>
      <c r="CA86" s="23">
        <v>2.69</v>
      </c>
      <c r="CB86" s="39">
        <f t="shared" si="69"/>
        <v>2.3536492168144463</v>
      </c>
      <c r="CC86" s="38">
        <f t="shared" si="70"/>
        <v>2.270756130253095</v>
      </c>
      <c r="CD86" s="38">
        <f t="shared" si="71"/>
        <v>2.4599858077741859</v>
      </c>
      <c r="CE86" s="32">
        <f t="shared" si="72"/>
        <v>29.614444532050779</v>
      </c>
      <c r="CF86" s="32">
        <f t="shared" si="73"/>
        <v>30.465978080895692</v>
      </c>
      <c r="CG86" s="32">
        <f t="shared" si="74"/>
        <v>53.362769060947727</v>
      </c>
      <c r="CH86" s="32">
        <f t="shared" si="75"/>
        <v>55.822754868721908</v>
      </c>
      <c r="CI86" s="32">
        <f t="shared" si="76"/>
        <v>5.3007267677078929</v>
      </c>
      <c r="CJ86">
        <v>634.15</v>
      </c>
      <c r="CK86">
        <v>24</v>
      </c>
      <c r="CL86">
        <v>26</v>
      </c>
      <c r="CM86" s="35">
        <v>289</v>
      </c>
      <c r="CN86">
        <v>296</v>
      </c>
      <c r="CO86">
        <v>109</v>
      </c>
      <c r="CP86">
        <v>101</v>
      </c>
      <c r="CQ86">
        <v>142</v>
      </c>
      <c r="CR86">
        <v>167</v>
      </c>
      <c r="CS86" s="20">
        <v>4</v>
      </c>
      <c r="CT86" s="20">
        <v>0</v>
      </c>
      <c r="CU86" s="35">
        <f t="shared" si="77"/>
        <v>-4</v>
      </c>
      <c r="CV86" s="38">
        <f t="shared" si="78"/>
        <v>1.3133892739875959</v>
      </c>
      <c r="CW86" s="38">
        <f t="shared" si="79"/>
        <v>0</v>
      </c>
      <c r="CX86" s="38">
        <f t="shared" si="80"/>
        <v>-1.3133892739875959</v>
      </c>
      <c r="CY86" s="40">
        <v>7.35</v>
      </c>
      <c r="CZ86" s="40">
        <v>6.58</v>
      </c>
      <c r="DA86" s="40">
        <v>5.44</v>
      </c>
      <c r="DB86" s="40">
        <v>9.9</v>
      </c>
      <c r="DC86" s="40">
        <v>6.29</v>
      </c>
      <c r="DD86" s="40">
        <v>8.86</v>
      </c>
      <c r="DE86">
        <v>0</v>
      </c>
      <c r="DF86">
        <v>0</v>
      </c>
      <c r="DG86" s="33" t="str">
        <f t="shared" si="81"/>
        <v xml:space="preserve"> </v>
      </c>
      <c r="DH86">
        <v>0</v>
      </c>
      <c r="DI86">
        <v>0</v>
      </c>
      <c r="DJ86">
        <v>0</v>
      </c>
      <c r="DK86">
        <v>0</v>
      </c>
      <c r="DL86">
        <v>0</v>
      </c>
      <c r="DM86" s="1" t="s">
        <v>481</v>
      </c>
      <c r="DN86" t="s">
        <v>482</v>
      </c>
    </row>
    <row r="87" spans="1:118" x14ac:dyDescent="0.25">
      <c r="A87" t="s">
        <v>199</v>
      </c>
      <c r="B87" t="s">
        <v>483</v>
      </c>
      <c r="C87" t="s">
        <v>136</v>
      </c>
      <c r="D87" s="1" t="s">
        <v>142</v>
      </c>
      <c r="E87">
        <v>17</v>
      </c>
      <c r="F87">
        <f>(5/17)</f>
        <v>0.29411764705882354</v>
      </c>
      <c r="G87" t="s">
        <v>544</v>
      </c>
      <c r="H87">
        <f>(25/68)</f>
        <v>0.36764705882352944</v>
      </c>
      <c r="I87">
        <v>0</v>
      </c>
      <c r="J87">
        <v>5</v>
      </c>
      <c r="K87" s="29">
        <f t="shared" si="41"/>
        <v>5</v>
      </c>
      <c r="L87" s="30">
        <f t="shared" si="42"/>
        <v>0.95566764003185567</v>
      </c>
      <c r="M87" s="20">
        <v>0</v>
      </c>
      <c r="N87" s="20">
        <v>3</v>
      </c>
      <c r="O87" s="20">
        <v>1</v>
      </c>
      <c r="P87" s="20">
        <v>20</v>
      </c>
      <c r="Q87" s="20">
        <v>6</v>
      </c>
      <c r="R87" s="20">
        <v>11</v>
      </c>
      <c r="S87" s="20">
        <v>16</v>
      </c>
      <c r="T87" s="31">
        <f t="shared" si="43"/>
        <v>0</v>
      </c>
      <c r="U87" s="31">
        <f t="shared" si="44"/>
        <v>0</v>
      </c>
      <c r="V87">
        <v>18835</v>
      </c>
      <c r="W87" s="32">
        <f t="shared" si="45"/>
        <v>18.465686274509803</v>
      </c>
      <c r="X87" s="23">
        <v>291.32</v>
      </c>
      <c r="Y87" s="32">
        <f t="shared" si="46"/>
        <v>17.136470588235294</v>
      </c>
      <c r="Z87" s="23">
        <v>518.78</v>
      </c>
      <c r="AA87" s="32">
        <f t="shared" si="47"/>
        <v>30.516470588235293</v>
      </c>
      <c r="AB87" s="33">
        <f t="shared" si="48"/>
        <v>0.35960992470065423</v>
      </c>
      <c r="AC87" s="34">
        <f t="shared" si="49"/>
        <v>34.5</v>
      </c>
      <c r="AD87" s="20">
        <v>20</v>
      </c>
      <c r="AE87" s="20">
        <v>11</v>
      </c>
      <c r="AF87" s="20">
        <v>41</v>
      </c>
      <c r="AG87" s="20">
        <v>11</v>
      </c>
      <c r="AH87" s="20">
        <v>5</v>
      </c>
      <c r="AI87" s="31">
        <f t="shared" si="50"/>
        <v>0</v>
      </c>
      <c r="AJ87" s="31">
        <f t="shared" si="51"/>
        <v>0.33333333333333331</v>
      </c>
      <c r="AK87" s="31">
        <f t="shared" si="52"/>
        <v>0.33333333333333331</v>
      </c>
      <c r="AL87" s="20">
        <v>85</v>
      </c>
      <c r="AM87" s="33">
        <f t="shared" si="53"/>
        <v>0.33333333333333331</v>
      </c>
      <c r="AN87" s="20">
        <v>88</v>
      </c>
      <c r="AO87" s="33">
        <f t="shared" si="54"/>
        <v>0.34509803921568627</v>
      </c>
      <c r="AP87" s="20">
        <v>82</v>
      </c>
      <c r="AQ87" s="33">
        <f t="shared" si="55"/>
        <v>0.32156862745098042</v>
      </c>
      <c r="AR87" s="33">
        <f t="shared" si="56"/>
        <v>0.4913294797687861</v>
      </c>
      <c r="AS87" s="1">
        <v>5</v>
      </c>
      <c r="AT87" s="23">
        <v>5.74</v>
      </c>
      <c r="AU87" s="20">
        <v>17.350000000000001</v>
      </c>
      <c r="AV87" s="35">
        <v>6</v>
      </c>
      <c r="AW87" s="36">
        <v>0.48799999999999999</v>
      </c>
      <c r="AX87" s="1">
        <v>4</v>
      </c>
      <c r="AY87" s="36">
        <v>-0.245</v>
      </c>
      <c r="AZ87" s="20">
        <v>50.17</v>
      </c>
      <c r="BA87" s="20">
        <v>16.63</v>
      </c>
      <c r="BB87" s="36">
        <v>-0.45400000000000001</v>
      </c>
      <c r="BC87" s="36">
        <v>-2.452</v>
      </c>
      <c r="BD87" s="20">
        <v>48.97</v>
      </c>
      <c r="BE87" s="33">
        <f t="shared" si="57"/>
        <v>8.6956521739130432E-2</v>
      </c>
      <c r="BF87" s="37">
        <f t="shared" si="58"/>
        <v>0.92666666666666664</v>
      </c>
      <c r="BG87" s="35">
        <f t="shared" si="59"/>
        <v>1013.623188405797</v>
      </c>
      <c r="BH87" s="33">
        <f t="shared" si="60"/>
        <v>1.3623188405797071E-2</v>
      </c>
      <c r="BI87" s="38">
        <f t="shared" si="61"/>
        <v>2.4715089935466152</v>
      </c>
      <c r="BJ87" s="38">
        <f t="shared" si="62"/>
        <v>2.2655499107510639</v>
      </c>
      <c r="BK87" s="32">
        <f t="shared" si="63"/>
        <v>28.422353425786078</v>
      </c>
      <c r="BL87" s="32">
        <f t="shared" si="64"/>
        <v>30.893862419332695</v>
      </c>
      <c r="BM87" s="32">
        <f t="shared" si="65"/>
        <v>50.665934367705617</v>
      </c>
      <c r="BN87" s="32">
        <f t="shared" si="66"/>
        <v>54.785116023616645</v>
      </c>
      <c r="BO87" s="32">
        <f t="shared" si="67"/>
        <v>-4.1191816559110279</v>
      </c>
      <c r="BP87" s="20">
        <v>12</v>
      </c>
      <c r="BQ87" s="20">
        <v>11</v>
      </c>
      <c r="BR87" s="35">
        <v>126</v>
      </c>
      <c r="BS87" s="35">
        <v>139</v>
      </c>
      <c r="BT87" s="20">
        <v>46</v>
      </c>
      <c r="BU87" s="20">
        <v>50</v>
      </c>
      <c r="BV87" s="20">
        <v>62</v>
      </c>
      <c r="BW87" s="20">
        <v>66</v>
      </c>
      <c r="BX87" s="20">
        <v>148</v>
      </c>
      <c r="BY87" s="20">
        <v>146</v>
      </c>
      <c r="BZ87" s="33">
        <f t="shared" si="68"/>
        <v>0.50340136054421769</v>
      </c>
      <c r="CA87" s="23">
        <v>3.38</v>
      </c>
      <c r="CB87" s="39">
        <f t="shared" si="69"/>
        <v>-1.7940891703618931</v>
      </c>
      <c r="CC87" s="38">
        <f t="shared" si="70"/>
        <v>2.1272105676245259</v>
      </c>
      <c r="CD87" s="38">
        <f t="shared" si="71"/>
        <v>2.4310977915708869</v>
      </c>
      <c r="CE87" s="32">
        <f t="shared" si="72"/>
        <v>28.18554002102497</v>
      </c>
      <c r="CF87" s="32">
        <f t="shared" si="73"/>
        <v>31.224412260488577</v>
      </c>
      <c r="CG87" s="32">
        <f t="shared" si="74"/>
        <v>53.408179608572922</v>
      </c>
      <c r="CH87" s="32">
        <f t="shared" si="75"/>
        <v>60.549529371312396</v>
      </c>
      <c r="CI87" s="32">
        <f t="shared" si="76"/>
        <v>3.0221681068284454</v>
      </c>
      <c r="CJ87">
        <v>789.76666699999998</v>
      </c>
      <c r="CK87">
        <v>28</v>
      </c>
      <c r="CL87">
        <v>32</v>
      </c>
      <c r="CM87" s="35">
        <v>343</v>
      </c>
      <c r="CN87">
        <v>379</v>
      </c>
      <c r="CO87">
        <v>138</v>
      </c>
      <c r="CP87">
        <v>180</v>
      </c>
      <c r="CQ87">
        <v>194</v>
      </c>
      <c r="CR87">
        <v>206</v>
      </c>
      <c r="CS87" s="20">
        <v>0</v>
      </c>
      <c r="CT87" s="20">
        <v>0</v>
      </c>
      <c r="CU87" s="35">
        <f t="shared" si="77"/>
        <v>0</v>
      </c>
      <c r="CV87" s="38">
        <f t="shared" si="78"/>
        <v>0</v>
      </c>
      <c r="CW87" s="38">
        <f t="shared" si="79"/>
        <v>0</v>
      </c>
      <c r="CX87" s="38">
        <f t="shared" si="80"/>
        <v>0</v>
      </c>
      <c r="CY87" s="40">
        <v>12.24</v>
      </c>
      <c r="CZ87" s="40">
        <v>11.72</v>
      </c>
      <c r="DA87" s="40">
        <v>26.47</v>
      </c>
      <c r="DB87" s="40">
        <v>10.51</v>
      </c>
      <c r="DC87" s="40">
        <v>17.149999999999999</v>
      </c>
      <c r="DD87" s="40">
        <v>11.53</v>
      </c>
      <c r="DE87">
        <v>0</v>
      </c>
      <c r="DF87">
        <v>0</v>
      </c>
      <c r="DG87" s="33" t="str">
        <f t="shared" si="81"/>
        <v xml:space="preserve"> </v>
      </c>
      <c r="DH87">
        <v>0</v>
      </c>
      <c r="DI87">
        <v>0</v>
      </c>
      <c r="DJ87">
        <v>0</v>
      </c>
      <c r="DK87">
        <v>0</v>
      </c>
      <c r="DL87">
        <v>0</v>
      </c>
      <c r="DM87" s="1" t="s">
        <v>484</v>
      </c>
      <c r="DN87" t="s">
        <v>485</v>
      </c>
    </row>
    <row r="88" spans="1:118" x14ac:dyDescent="0.25">
      <c r="A88" t="s">
        <v>486</v>
      </c>
      <c r="B88" t="s">
        <v>487</v>
      </c>
      <c r="C88" s="1" t="s">
        <v>205</v>
      </c>
      <c r="D88" s="2" t="s">
        <v>3</v>
      </c>
      <c r="E88">
        <v>21</v>
      </c>
      <c r="F88">
        <f>(4/21)</f>
        <v>0.19047619047619047</v>
      </c>
      <c r="G88" t="s">
        <v>544</v>
      </c>
      <c r="H88">
        <f>(27/73)</f>
        <v>0.36986301369863012</v>
      </c>
      <c r="I88">
        <v>3</v>
      </c>
      <c r="J88">
        <v>1</v>
      </c>
      <c r="K88" s="29">
        <f t="shared" si="41"/>
        <v>4</v>
      </c>
      <c r="L88" s="30">
        <f t="shared" si="42"/>
        <v>1.0693598693004602</v>
      </c>
      <c r="M88" s="20">
        <v>3</v>
      </c>
      <c r="N88" s="20">
        <v>0</v>
      </c>
      <c r="O88" s="20">
        <v>1</v>
      </c>
      <c r="P88" s="20">
        <v>22</v>
      </c>
      <c r="Q88" s="20">
        <v>7</v>
      </c>
      <c r="R88" s="20">
        <v>3</v>
      </c>
      <c r="S88" s="20">
        <v>20</v>
      </c>
      <c r="T88" s="31">
        <f t="shared" si="43"/>
        <v>0.13636363636363635</v>
      </c>
      <c r="U88" s="31">
        <f t="shared" si="44"/>
        <v>9.375E-2</v>
      </c>
      <c r="V88">
        <v>13466</v>
      </c>
      <c r="W88" s="32">
        <f t="shared" si="45"/>
        <v>10.687301587301587</v>
      </c>
      <c r="X88" s="23">
        <v>217.8</v>
      </c>
      <c r="Y88" s="32">
        <f t="shared" si="46"/>
        <v>10.371428571428572</v>
      </c>
      <c r="Z88" s="23">
        <v>800.57</v>
      </c>
      <c r="AA88" s="32">
        <f t="shared" si="47"/>
        <v>38.122380952380958</v>
      </c>
      <c r="AB88" s="33">
        <f t="shared" si="48"/>
        <v>0.21387118630753063</v>
      </c>
      <c r="AC88" s="34">
        <f t="shared" si="49"/>
        <v>0</v>
      </c>
      <c r="AD88" s="20">
        <v>4</v>
      </c>
      <c r="AE88" s="20">
        <v>27</v>
      </c>
      <c r="AF88" s="20">
        <v>22</v>
      </c>
      <c r="AG88" s="20">
        <v>4</v>
      </c>
      <c r="AH88" s="20">
        <v>4</v>
      </c>
      <c r="AI88" s="31">
        <f t="shared" si="50"/>
        <v>0.5</v>
      </c>
      <c r="AJ88" s="31">
        <f t="shared" si="51"/>
        <v>0.16666666666666666</v>
      </c>
      <c r="AK88" s="31">
        <f t="shared" si="52"/>
        <v>0.66666666666666663</v>
      </c>
      <c r="AL88" s="20">
        <v>59</v>
      </c>
      <c r="AM88" s="33">
        <f t="shared" si="53"/>
        <v>0.30412371134020616</v>
      </c>
      <c r="AN88" s="20">
        <v>63</v>
      </c>
      <c r="AO88" s="33">
        <f t="shared" si="54"/>
        <v>0.32474226804123713</v>
      </c>
      <c r="AP88" s="20">
        <v>72</v>
      </c>
      <c r="AQ88" s="33">
        <f t="shared" si="55"/>
        <v>0.37113402061855671</v>
      </c>
      <c r="AR88" s="33">
        <f t="shared" si="56"/>
        <v>0.48360655737704916</v>
      </c>
      <c r="AS88" s="1">
        <v>7</v>
      </c>
      <c r="AT88" s="23">
        <v>-5.4</v>
      </c>
      <c r="AU88" s="20">
        <v>16.97</v>
      </c>
      <c r="AV88" s="35">
        <v>9</v>
      </c>
      <c r="AW88" s="36">
        <v>-1.1200000000000001</v>
      </c>
      <c r="AX88" s="1">
        <v>13</v>
      </c>
      <c r="AY88" s="36">
        <v>-1.3089999999999999</v>
      </c>
      <c r="AZ88" s="20">
        <v>49.54</v>
      </c>
      <c r="BA88" s="20">
        <v>17.05</v>
      </c>
      <c r="BB88" s="36">
        <v>0.20100000000000001</v>
      </c>
      <c r="BC88" s="36">
        <v>2.786</v>
      </c>
      <c r="BD88" s="20">
        <v>52.38</v>
      </c>
      <c r="BE88" s="33">
        <f t="shared" si="57"/>
        <v>6.3157894736842107E-2</v>
      </c>
      <c r="BF88" s="37">
        <f t="shared" si="58"/>
        <v>0.83783783783783783</v>
      </c>
      <c r="BG88" s="35">
        <f t="shared" si="59"/>
        <v>900.99573257467989</v>
      </c>
      <c r="BH88" s="33">
        <f t="shared" si="60"/>
        <v>-9.9004267425320064E-2</v>
      </c>
      <c r="BI88" s="38">
        <f t="shared" si="61"/>
        <v>1.6528925619834709</v>
      </c>
      <c r="BJ88" s="38">
        <f t="shared" si="62"/>
        <v>4.9586776859504136</v>
      </c>
      <c r="BK88" s="32">
        <f t="shared" si="63"/>
        <v>26.170798898071624</v>
      </c>
      <c r="BL88" s="32">
        <f t="shared" si="64"/>
        <v>30.578512396694212</v>
      </c>
      <c r="BM88" s="32">
        <f t="shared" si="65"/>
        <v>44.352617079889804</v>
      </c>
      <c r="BN88" s="32">
        <f t="shared" si="66"/>
        <v>52.892561983471069</v>
      </c>
      <c r="BO88" s="32">
        <f t="shared" si="67"/>
        <v>-8.5399449035812651</v>
      </c>
      <c r="BP88" s="20">
        <v>6</v>
      </c>
      <c r="BQ88" s="20">
        <v>18</v>
      </c>
      <c r="BR88" s="35">
        <v>89</v>
      </c>
      <c r="BS88" s="35">
        <v>93</v>
      </c>
      <c r="BT88" s="20">
        <v>29</v>
      </c>
      <c r="BU88" s="20">
        <v>32</v>
      </c>
      <c r="BV88" s="20">
        <v>37</v>
      </c>
      <c r="BW88" s="20">
        <v>49</v>
      </c>
      <c r="BX88" s="20">
        <v>75</v>
      </c>
      <c r="BY88" s="20">
        <v>98</v>
      </c>
      <c r="BZ88" s="33">
        <f t="shared" si="68"/>
        <v>0.43352601156069365</v>
      </c>
      <c r="CA88" s="23">
        <v>-9.4700000000000006</v>
      </c>
      <c r="CB88" s="39">
        <f t="shared" si="69"/>
        <v>-12.331502280630446</v>
      </c>
      <c r="CC88" s="38">
        <f t="shared" si="70"/>
        <v>1.8263943440691282</v>
      </c>
      <c r="CD88" s="38">
        <f t="shared" si="71"/>
        <v>2.1798900235663785</v>
      </c>
      <c r="CE88" s="32">
        <f t="shared" si="72"/>
        <v>25.981932443047921</v>
      </c>
      <c r="CF88" s="32">
        <f t="shared" si="73"/>
        <v>26.512175962293792</v>
      </c>
      <c r="CG88" s="32">
        <f t="shared" si="74"/>
        <v>52.670856245090341</v>
      </c>
      <c r="CH88" s="32">
        <f t="shared" si="75"/>
        <v>48.841319717203454</v>
      </c>
      <c r="CI88" s="32">
        <f t="shared" si="76"/>
        <v>-12.369481431468152</v>
      </c>
      <c r="CJ88">
        <v>1018.4</v>
      </c>
      <c r="CK88">
        <v>31</v>
      </c>
      <c r="CL88">
        <v>37</v>
      </c>
      <c r="CM88" s="35">
        <v>410</v>
      </c>
      <c r="CN88">
        <v>413</v>
      </c>
      <c r="CO88">
        <v>200</v>
      </c>
      <c r="CP88">
        <v>189</v>
      </c>
      <c r="CQ88">
        <v>253</v>
      </c>
      <c r="CR88">
        <v>190</v>
      </c>
      <c r="CS88" s="20">
        <v>5</v>
      </c>
      <c r="CT88" s="20">
        <v>3</v>
      </c>
      <c r="CU88" s="35">
        <f t="shared" si="77"/>
        <v>-2</v>
      </c>
      <c r="CV88" s="38">
        <f t="shared" si="78"/>
        <v>1.3366998366255756</v>
      </c>
      <c r="CW88" s="38">
        <f t="shared" si="79"/>
        <v>0.80201990197534534</v>
      </c>
      <c r="CX88" s="38">
        <f t="shared" si="80"/>
        <v>-0.53467993465023023</v>
      </c>
      <c r="CY88" s="40">
        <v>6.27</v>
      </c>
      <c r="CZ88" s="40">
        <v>9.1999999999999993</v>
      </c>
      <c r="DA88" s="40">
        <v>7.17</v>
      </c>
      <c r="DB88" s="40">
        <v>5.43</v>
      </c>
      <c r="DC88" s="40">
        <v>10.53</v>
      </c>
      <c r="DD88" s="40">
        <v>7.68</v>
      </c>
      <c r="DE88">
        <v>0</v>
      </c>
      <c r="DF88">
        <v>1</v>
      </c>
      <c r="DG88" s="33">
        <f t="shared" si="81"/>
        <v>0</v>
      </c>
      <c r="DH88">
        <v>-0.01</v>
      </c>
      <c r="DI88">
        <v>-0.24</v>
      </c>
      <c r="DJ88">
        <v>1</v>
      </c>
      <c r="DK88">
        <v>0</v>
      </c>
      <c r="DL88">
        <v>0</v>
      </c>
      <c r="DM88" s="1" t="s">
        <v>488</v>
      </c>
      <c r="DN88" t="s">
        <v>489</v>
      </c>
    </row>
    <row r="89" spans="1:118" x14ac:dyDescent="0.25">
      <c r="A89" t="s">
        <v>145</v>
      </c>
      <c r="B89" t="s">
        <v>490</v>
      </c>
      <c r="C89" s="1" t="s">
        <v>177</v>
      </c>
      <c r="D89" s="2" t="s">
        <v>142</v>
      </c>
      <c r="E89">
        <v>45</v>
      </c>
      <c r="F89">
        <f>(4/45)</f>
        <v>8.8888888888888892E-2</v>
      </c>
      <c r="G89" t="s">
        <v>544</v>
      </c>
      <c r="H89">
        <f>(22/65)</f>
        <v>0.33846153846153848</v>
      </c>
      <c r="I89">
        <v>0</v>
      </c>
      <c r="J89">
        <v>0</v>
      </c>
      <c r="K89" s="29">
        <f t="shared" si="41"/>
        <v>0</v>
      </c>
      <c r="L89" s="30">
        <f t="shared" si="42"/>
        <v>0</v>
      </c>
      <c r="M89" s="20">
        <v>0</v>
      </c>
      <c r="N89" s="20">
        <v>0</v>
      </c>
      <c r="O89" s="20">
        <v>0</v>
      </c>
      <c r="P89" s="20">
        <v>33</v>
      </c>
      <c r="Q89" s="20">
        <v>15</v>
      </c>
      <c r="R89" s="20">
        <v>32</v>
      </c>
      <c r="S89" s="20">
        <v>17</v>
      </c>
      <c r="T89" s="31">
        <f t="shared" si="43"/>
        <v>0</v>
      </c>
      <c r="U89" s="31">
        <f t="shared" si="44"/>
        <v>0</v>
      </c>
      <c r="V89">
        <v>33446</v>
      </c>
      <c r="W89" s="32">
        <f t="shared" si="45"/>
        <v>12.387407407407407</v>
      </c>
      <c r="X89" s="23">
        <v>551</v>
      </c>
      <c r="Y89" s="32">
        <f t="shared" si="46"/>
        <v>12.244444444444444</v>
      </c>
      <c r="Z89" s="23">
        <v>1626.33</v>
      </c>
      <c r="AA89" s="32">
        <f t="shared" si="47"/>
        <v>36.140666666666668</v>
      </c>
      <c r="AB89" s="33">
        <f t="shared" si="48"/>
        <v>0.25306223677623507</v>
      </c>
      <c r="AC89" s="34">
        <f t="shared" si="49"/>
        <v>0</v>
      </c>
      <c r="AD89" s="20">
        <v>35</v>
      </c>
      <c r="AE89" s="20">
        <v>37</v>
      </c>
      <c r="AF89" s="20">
        <v>71</v>
      </c>
      <c r="AG89" s="20">
        <v>19</v>
      </c>
      <c r="AH89" s="20">
        <v>7</v>
      </c>
      <c r="AI89" s="31">
        <f t="shared" si="50"/>
        <v>0</v>
      </c>
      <c r="AJ89" s="31">
        <f t="shared" si="51"/>
        <v>0</v>
      </c>
      <c r="AK89" s="31">
        <f t="shared" si="52"/>
        <v>0</v>
      </c>
      <c r="AL89" s="20">
        <v>175</v>
      </c>
      <c r="AM89" s="33">
        <f t="shared" si="53"/>
        <v>0.33206831119544594</v>
      </c>
      <c r="AN89" s="20">
        <v>139</v>
      </c>
      <c r="AO89" s="33">
        <f t="shared" si="54"/>
        <v>0.26375711574952559</v>
      </c>
      <c r="AP89" s="20">
        <v>213</v>
      </c>
      <c r="AQ89" s="33">
        <f t="shared" si="55"/>
        <v>0.40417457305502846</v>
      </c>
      <c r="AR89" s="33">
        <f t="shared" si="56"/>
        <v>0.5573248407643312</v>
      </c>
      <c r="AS89" s="1">
        <v>7</v>
      </c>
      <c r="AT89" s="23">
        <v>7.72</v>
      </c>
      <c r="AU89" s="20">
        <v>16.79</v>
      </c>
      <c r="AV89" s="35">
        <v>7</v>
      </c>
      <c r="AW89" s="36">
        <v>-0.93700000000000006</v>
      </c>
      <c r="AX89" s="1">
        <v>7</v>
      </c>
      <c r="AY89" s="36">
        <v>-0.95600000000000007</v>
      </c>
      <c r="AZ89" s="20">
        <v>49.42</v>
      </c>
      <c r="BA89" s="20">
        <v>16.12</v>
      </c>
      <c r="BB89" s="36">
        <v>-0.92100000000000004</v>
      </c>
      <c r="BC89" s="36">
        <v>2.419</v>
      </c>
      <c r="BD89" s="20">
        <v>51.27</v>
      </c>
      <c r="BE89" s="33">
        <f t="shared" si="57"/>
        <v>5.46875E-2</v>
      </c>
      <c r="BF89" s="37">
        <f t="shared" si="58"/>
        <v>0.92718446601941751</v>
      </c>
      <c r="BG89" s="35">
        <f t="shared" si="59"/>
        <v>981.87196601941753</v>
      </c>
      <c r="BH89" s="33">
        <f t="shared" si="60"/>
        <v>-1.8128033980582492E-2</v>
      </c>
      <c r="BI89" s="38">
        <f t="shared" si="61"/>
        <v>1.5245009074410163</v>
      </c>
      <c r="BJ89" s="38">
        <f t="shared" si="62"/>
        <v>1.633393829401089</v>
      </c>
      <c r="BK89" s="32">
        <f t="shared" si="63"/>
        <v>27.876588021778584</v>
      </c>
      <c r="BL89" s="32">
        <f t="shared" si="64"/>
        <v>22.431941923774954</v>
      </c>
      <c r="BM89" s="32">
        <f t="shared" si="65"/>
        <v>51.833030852994554</v>
      </c>
      <c r="BN89" s="32">
        <f t="shared" si="66"/>
        <v>46.715063520871141</v>
      </c>
      <c r="BO89" s="32">
        <f t="shared" si="67"/>
        <v>5.1179673321234134</v>
      </c>
      <c r="BP89" s="20">
        <v>14</v>
      </c>
      <c r="BQ89" s="20">
        <v>15</v>
      </c>
      <c r="BR89" s="35">
        <v>242</v>
      </c>
      <c r="BS89" s="35">
        <v>191</v>
      </c>
      <c r="BT89" s="20">
        <v>102</v>
      </c>
      <c r="BU89" s="20">
        <v>96</v>
      </c>
      <c r="BV89" s="20">
        <v>118</v>
      </c>
      <c r="BW89" s="20">
        <v>127</v>
      </c>
      <c r="BX89" s="20">
        <v>240</v>
      </c>
      <c r="BY89" s="20">
        <v>196</v>
      </c>
      <c r="BZ89" s="33">
        <f t="shared" si="68"/>
        <v>0.55045871559633031</v>
      </c>
      <c r="CA89" s="23">
        <v>-0.4</v>
      </c>
      <c r="CB89" s="39">
        <f t="shared" si="69"/>
        <v>0.27717115377946477</v>
      </c>
      <c r="CC89" s="38">
        <f t="shared" si="70"/>
        <v>2.2872364855555043</v>
      </c>
      <c r="CD89" s="38">
        <f t="shared" si="71"/>
        <v>2.0943370229182929</v>
      </c>
      <c r="CE89" s="32">
        <f t="shared" si="72"/>
        <v>29.596288981766403</v>
      </c>
      <c r="CF89" s="32">
        <f t="shared" si="73"/>
        <v>25.600514398567029</v>
      </c>
      <c r="CG89" s="32">
        <f t="shared" si="74"/>
        <v>56.436871354429798</v>
      </c>
      <c r="CH89" s="32">
        <f t="shared" si="75"/>
        <v>51.00812933449685</v>
      </c>
      <c r="CI89" s="32">
        <f t="shared" si="76"/>
        <v>-0.3107746878095341</v>
      </c>
      <c r="CJ89">
        <v>2177.3000000000002</v>
      </c>
      <c r="CK89">
        <v>83</v>
      </c>
      <c r="CL89">
        <v>76</v>
      </c>
      <c r="CM89" s="35">
        <v>991</v>
      </c>
      <c r="CN89">
        <v>853</v>
      </c>
      <c r="CO89">
        <v>433</v>
      </c>
      <c r="CP89">
        <v>372</v>
      </c>
      <c r="CQ89">
        <v>541</v>
      </c>
      <c r="CR89">
        <v>550</v>
      </c>
      <c r="CS89" s="20">
        <v>5</v>
      </c>
      <c r="CT89" s="20">
        <v>5</v>
      </c>
      <c r="CU89" s="35">
        <f t="shared" si="77"/>
        <v>0</v>
      </c>
      <c r="CV89" s="38">
        <f t="shared" si="78"/>
        <v>0.53818094839442687</v>
      </c>
      <c r="CW89" s="38">
        <f t="shared" si="79"/>
        <v>0.53818094839442687</v>
      </c>
      <c r="CX89" s="38">
        <f t="shared" si="80"/>
        <v>0</v>
      </c>
      <c r="CY89" s="40">
        <v>22.46</v>
      </c>
      <c r="CZ89" s="40">
        <v>15.51</v>
      </c>
      <c r="DA89" s="40">
        <v>20.99</v>
      </c>
      <c r="DB89" s="40">
        <v>27.12</v>
      </c>
      <c r="DC89" s="40">
        <v>22.15</v>
      </c>
      <c r="DD89" s="40">
        <v>20.56</v>
      </c>
      <c r="DE89">
        <v>0</v>
      </c>
      <c r="DF89">
        <v>0</v>
      </c>
      <c r="DG89" s="33" t="str">
        <f t="shared" si="81"/>
        <v xml:space="preserve"> </v>
      </c>
      <c r="DH89">
        <v>0</v>
      </c>
      <c r="DI89">
        <v>0</v>
      </c>
      <c r="DJ89">
        <v>0</v>
      </c>
      <c r="DK89">
        <v>0</v>
      </c>
      <c r="DL89">
        <v>0</v>
      </c>
      <c r="DM89" s="1" t="s">
        <v>491</v>
      </c>
      <c r="DN89" t="s">
        <v>492</v>
      </c>
    </row>
    <row r="90" spans="1:118" x14ac:dyDescent="0.25">
      <c r="A90" t="s">
        <v>145</v>
      </c>
      <c r="B90" t="s">
        <v>493</v>
      </c>
      <c r="C90" s="1" t="s">
        <v>191</v>
      </c>
      <c r="D90" s="2" t="s">
        <v>142</v>
      </c>
      <c r="E90">
        <v>34</v>
      </c>
      <c r="F90">
        <f>(4/34)</f>
        <v>0.11764705882352941</v>
      </c>
      <c r="G90" t="s">
        <v>544</v>
      </c>
      <c r="H90">
        <f>(17/73)</f>
        <v>0.23287671232876711</v>
      </c>
      <c r="I90">
        <v>2</v>
      </c>
      <c r="J90">
        <v>2</v>
      </c>
      <c r="K90" s="29">
        <f t="shared" si="41"/>
        <v>4</v>
      </c>
      <c r="L90" s="30">
        <f t="shared" si="42"/>
        <v>0.53615310149676076</v>
      </c>
      <c r="M90" s="20">
        <v>2</v>
      </c>
      <c r="N90" s="20">
        <v>1</v>
      </c>
      <c r="O90" s="20">
        <v>1</v>
      </c>
      <c r="P90" s="20">
        <v>25</v>
      </c>
      <c r="Q90" s="20">
        <v>18</v>
      </c>
      <c r="R90" s="20">
        <v>23</v>
      </c>
      <c r="S90" s="20">
        <v>14</v>
      </c>
      <c r="T90" s="31">
        <f t="shared" si="43"/>
        <v>0.08</v>
      </c>
      <c r="U90" s="31">
        <f t="shared" si="44"/>
        <v>3.0303030303030304E-2</v>
      </c>
      <c r="V90">
        <v>26858</v>
      </c>
      <c r="W90" s="32">
        <f t="shared" si="45"/>
        <v>13.165686274509804</v>
      </c>
      <c r="X90" s="23">
        <v>447.79</v>
      </c>
      <c r="Y90" s="32">
        <f t="shared" si="46"/>
        <v>13.17029411764706</v>
      </c>
      <c r="Z90" s="23">
        <v>1193.77</v>
      </c>
      <c r="AA90" s="32">
        <f t="shared" si="47"/>
        <v>35.110882352941175</v>
      </c>
      <c r="AB90" s="33">
        <f t="shared" si="48"/>
        <v>0.27278320621847513</v>
      </c>
      <c r="AC90" s="34">
        <f t="shared" si="49"/>
        <v>11.588235294117649</v>
      </c>
      <c r="AD90" s="20">
        <v>30</v>
      </c>
      <c r="AE90" s="20">
        <v>91</v>
      </c>
      <c r="AF90" s="20">
        <v>50</v>
      </c>
      <c r="AG90" s="20">
        <v>12</v>
      </c>
      <c r="AH90" s="20">
        <v>9</v>
      </c>
      <c r="AI90" s="31">
        <f t="shared" si="50"/>
        <v>0.11764705882352941</v>
      </c>
      <c r="AJ90" s="31">
        <f t="shared" si="51"/>
        <v>0.11764705882352941</v>
      </c>
      <c r="AK90" s="31">
        <f t="shared" si="52"/>
        <v>0.23529411764705882</v>
      </c>
      <c r="AL90" s="20">
        <v>102</v>
      </c>
      <c r="AM90" s="33">
        <f t="shared" si="53"/>
        <v>0.28176795580110497</v>
      </c>
      <c r="AN90" s="20">
        <v>106</v>
      </c>
      <c r="AO90" s="33">
        <f t="shared" si="54"/>
        <v>0.29281767955801102</v>
      </c>
      <c r="AP90" s="20">
        <v>154</v>
      </c>
      <c r="AQ90" s="33">
        <f t="shared" si="55"/>
        <v>0.425414364640884</v>
      </c>
      <c r="AR90" s="33">
        <f t="shared" si="56"/>
        <v>0.49038461538461536</v>
      </c>
      <c r="AS90" s="1">
        <v>5</v>
      </c>
      <c r="AT90" s="23">
        <v>-2.98</v>
      </c>
      <c r="AU90" s="20">
        <v>16.87</v>
      </c>
      <c r="AV90" s="35">
        <v>7</v>
      </c>
      <c r="AW90" s="36">
        <v>-1.117</v>
      </c>
      <c r="AX90" s="1">
        <v>7</v>
      </c>
      <c r="AY90" s="36">
        <v>-1.6320000000000001</v>
      </c>
      <c r="AZ90" s="20">
        <v>49.25</v>
      </c>
      <c r="BA90" s="20">
        <v>16.100000000000001</v>
      </c>
      <c r="BB90" s="36">
        <v>0.57400000000000007</v>
      </c>
      <c r="BC90" s="36">
        <v>-5.1319999999999997</v>
      </c>
      <c r="BD90" s="20">
        <v>48.29</v>
      </c>
      <c r="BE90" s="33">
        <f t="shared" si="57"/>
        <v>8.6294416243654817E-2</v>
      </c>
      <c r="BF90" s="37">
        <f t="shared" si="58"/>
        <v>0.95215311004784686</v>
      </c>
      <c r="BG90" s="35">
        <f t="shared" si="59"/>
        <v>1038.4475262915016</v>
      </c>
      <c r="BH90" s="33">
        <f t="shared" si="60"/>
        <v>3.844752629150168E-2</v>
      </c>
      <c r="BI90" s="38">
        <f t="shared" si="61"/>
        <v>2.2778534580941958</v>
      </c>
      <c r="BJ90" s="38">
        <f t="shared" si="62"/>
        <v>1.3399137988789387</v>
      </c>
      <c r="BK90" s="32">
        <f t="shared" si="63"/>
        <v>26.39630183791509</v>
      </c>
      <c r="BL90" s="32">
        <f t="shared" si="64"/>
        <v>28.004198396569816</v>
      </c>
      <c r="BM90" s="32">
        <f t="shared" si="65"/>
        <v>53.194577815493865</v>
      </c>
      <c r="BN90" s="32">
        <f t="shared" si="66"/>
        <v>51.318698497063345</v>
      </c>
      <c r="BO90" s="32">
        <f t="shared" si="67"/>
        <v>1.8758793184305205</v>
      </c>
      <c r="BP90" s="20">
        <v>17</v>
      </c>
      <c r="BQ90" s="20">
        <v>10</v>
      </c>
      <c r="BR90" s="35">
        <v>180</v>
      </c>
      <c r="BS90" s="35">
        <v>199</v>
      </c>
      <c r="BT90" s="20">
        <v>89</v>
      </c>
      <c r="BU90" s="20">
        <v>81</v>
      </c>
      <c r="BV90" s="20">
        <v>111</v>
      </c>
      <c r="BW90" s="20">
        <v>93</v>
      </c>
      <c r="BX90" s="20">
        <v>171</v>
      </c>
      <c r="BY90" s="20">
        <v>170</v>
      </c>
      <c r="BZ90" s="33">
        <f t="shared" si="68"/>
        <v>0.50146627565982405</v>
      </c>
      <c r="CA90" s="23">
        <v>1.91</v>
      </c>
      <c r="CB90" s="39">
        <f t="shared" si="69"/>
        <v>5.5166485491997541</v>
      </c>
      <c r="CC90" s="38">
        <f t="shared" si="70"/>
        <v>2.2368675700575782</v>
      </c>
      <c r="CD90" s="38">
        <f t="shared" si="71"/>
        <v>2.1268576895629434</v>
      </c>
      <c r="CE90" s="32">
        <f t="shared" si="72"/>
        <v>27.759159844812899</v>
      </c>
      <c r="CF90" s="32">
        <f t="shared" si="73"/>
        <v>28.015849565967049</v>
      </c>
      <c r="CG90" s="32">
        <f t="shared" si="74"/>
        <v>53.758161601711642</v>
      </c>
      <c r="CH90" s="32">
        <f t="shared" si="75"/>
        <v>53.391462000062859</v>
      </c>
      <c r="CI90" s="32">
        <f t="shared" si="76"/>
        <v>1.5091797167817376</v>
      </c>
      <c r="CJ90">
        <v>1636.2166669999999</v>
      </c>
      <c r="CK90">
        <v>61</v>
      </c>
      <c r="CL90">
        <v>58</v>
      </c>
      <c r="CM90" s="35">
        <v>696</v>
      </c>
      <c r="CN90">
        <v>706</v>
      </c>
      <c r="CO90">
        <v>325</v>
      </c>
      <c r="CP90">
        <v>302</v>
      </c>
      <c r="CQ90">
        <v>384</v>
      </c>
      <c r="CR90">
        <v>390</v>
      </c>
      <c r="CS90" s="20">
        <v>12</v>
      </c>
      <c r="CT90" s="20">
        <v>1</v>
      </c>
      <c r="CU90" s="35">
        <f t="shared" si="77"/>
        <v>-11</v>
      </c>
      <c r="CV90" s="38">
        <f t="shared" si="78"/>
        <v>1.6084593044902822</v>
      </c>
      <c r="CW90" s="38">
        <f t="shared" si="79"/>
        <v>0.13403827537419019</v>
      </c>
      <c r="CX90" s="38">
        <f t="shared" si="80"/>
        <v>-1.474421029116092</v>
      </c>
      <c r="CY90" s="40">
        <v>16.399999999999999</v>
      </c>
      <c r="CZ90" s="40">
        <v>16.55</v>
      </c>
      <c r="DA90" s="40">
        <v>20.87</v>
      </c>
      <c r="DB90" s="40">
        <v>16.45</v>
      </c>
      <c r="DC90" s="40">
        <v>18.2</v>
      </c>
      <c r="DD90" s="40">
        <v>17.079999999999998</v>
      </c>
      <c r="DE90">
        <v>0</v>
      </c>
      <c r="DF90">
        <v>0</v>
      </c>
      <c r="DG90" s="33" t="str">
        <f t="shared" si="81"/>
        <v xml:space="preserve"> </v>
      </c>
      <c r="DH90">
        <v>0</v>
      </c>
      <c r="DI90">
        <v>0</v>
      </c>
      <c r="DJ90">
        <v>0</v>
      </c>
      <c r="DK90">
        <v>0</v>
      </c>
      <c r="DL90">
        <v>0</v>
      </c>
      <c r="DM90" s="1" t="s">
        <v>494</v>
      </c>
      <c r="DN90" t="s">
        <v>495</v>
      </c>
    </row>
    <row r="91" spans="1:118" x14ac:dyDescent="0.25">
      <c r="A91" t="s">
        <v>377</v>
      </c>
      <c r="B91" t="s">
        <v>496</v>
      </c>
      <c r="C91" s="1" t="s">
        <v>238</v>
      </c>
      <c r="D91" s="2" t="s">
        <v>142</v>
      </c>
      <c r="E91">
        <v>15</v>
      </c>
      <c r="F91">
        <f>(4/15)</f>
        <v>0.26666666666666666</v>
      </c>
      <c r="G91" t="s">
        <v>544</v>
      </c>
      <c r="H91">
        <f>(29/54)</f>
        <v>0.53703703703703709</v>
      </c>
      <c r="I91">
        <v>2</v>
      </c>
      <c r="J91">
        <v>2</v>
      </c>
      <c r="K91" s="29">
        <f t="shared" si="41"/>
        <v>4</v>
      </c>
      <c r="L91" s="30">
        <f t="shared" si="42"/>
        <v>1.1282613805531614</v>
      </c>
      <c r="M91" s="20">
        <v>2</v>
      </c>
      <c r="N91" s="20">
        <v>1</v>
      </c>
      <c r="O91" s="20">
        <v>1</v>
      </c>
      <c r="P91" s="20">
        <v>10</v>
      </c>
      <c r="Q91" s="20">
        <v>9</v>
      </c>
      <c r="R91" s="20">
        <v>11</v>
      </c>
      <c r="S91" s="20">
        <v>1</v>
      </c>
      <c r="T91" s="31">
        <f t="shared" si="43"/>
        <v>0.2</v>
      </c>
      <c r="U91" s="31">
        <f t="shared" si="44"/>
        <v>6.6666666666666666E-2</v>
      </c>
      <c r="V91">
        <v>12763</v>
      </c>
      <c r="W91" s="32">
        <f t="shared" si="45"/>
        <v>14.181111111111111</v>
      </c>
      <c r="X91" s="23">
        <v>203.98</v>
      </c>
      <c r="Y91" s="32">
        <f t="shared" si="46"/>
        <v>13.598666666666666</v>
      </c>
      <c r="Z91" s="23">
        <v>549.28</v>
      </c>
      <c r="AA91" s="32">
        <f t="shared" si="47"/>
        <v>36.618666666666662</v>
      </c>
      <c r="AB91" s="33">
        <f t="shared" si="48"/>
        <v>0.27079627220348884</v>
      </c>
      <c r="AC91" s="34">
        <f t="shared" si="49"/>
        <v>6.8461538461538467</v>
      </c>
      <c r="AD91" s="20">
        <v>11</v>
      </c>
      <c r="AE91" s="20">
        <v>13</v>
      </c>
      <c r="AF91" s="20">
        <v>14</v>
      </c>
      <c r="AG91" s="20">
        <v>5</v>
      </c>
      <c r="AH91" s="20">
        <v>3</v>
      </c>
      <c r="AI91" s="31">
        <f t="shared" si="50"/>
        <v>0.15384615384615385</v>
      </c>
      <c r="AJ91" s="31">
        <f t="shared" si="51"/>
        <v>0.15384615384615385</v>
      </c>
      <c r="AK91" s="31">
        <f t="shared" si="52"/>
        <v>0.30769230769230771</v>
      </c>
      <c r="AL91" s="20">
        <v>55</v>
      </c>
      <c r="AM91" s="33">
        <f t="shared" si="53"/>
        <v>0.35947712418300654</v>
      </c>
      <c r="AN91" s="20">
        <v>44</v>
      </c>
      <c r="AO91" s="33">
        <f t="shared" si="54"/>
        <v>0.28758169934640521</v>
      </c>
      <c r="AP91" s="20">
        <v>54</v>
      </c>
      <c r="AQ91" s="33">
        <f t="shared" si="55"/>
        <v>0.35294117647058826</v>
      </c>
      <c r="AR91" s="33">
        <f t="shared" si="56"/>
        <v>0.55555555555555558</v>
      </c>
      <c r="AS91" s="1">
        <v>7</v>
      </c>
      <c r="AT91" s="23">
        <v>13.27</v>
      </c>
      <c r="AU91" s="20">
        <v>16.87</v>
      </c>
      <c r="AV91" s="35">
        <v>8</v>
      </c>
      <c r="AW91" s="36">
        <v>0.10200000000000001</v>
      </c>
      <c r="AX91" s="1">
        <v>5</v>
      </c>
      <c r="AY91" s="36">
        <v>0.23200000000000001</v>
      </c>
      <c r="AZ91" s="20">
        <v>50.1</v>
      </c>
      <c r="BA91" s="20">
        <v>15.91</v>
      </c>
      <c r="BB91" s="36">
        <v>0.41500000000000004</v>
      </c>
      <c r="BC91" s="36">
        <v>-1.69</v>
      </c>
      <c r="BD91" s="20">
        <v>49.24</v>
      </c>
      <c r="BE91" s="33">
        <f t="shared" si="57"/>
        <v>0.14606741573033707</v>
      </c>
      <c r="BF91" s="37">
        <f t="shared" si="58"/>
        <v>0.89795918367346939</v>
      </c>
      <c r="BG91" s="35">
        <f t="shared" si="59"/>
        <v>1044.0265994038064</v>
      </c>
      <c r="BH91" s="33">
        <f t="shared" si="60"/>
        <v>4.402659940380646E-2</v>
      </c>
      <c r="BI91" s="38">
        <f t="shared" si="61"/>
        <v>3.8239043043435634</v>
      </c>
      <c r="BJ91" s="38">
        <f t="shared" si="62"/>
        <v>2.9414648494950488</v>
      </c>
      <c r="BK91" s="32">
        <f t="shared" si="63"/>
        <v>26.179037160505935</v>
      </c>
      <c r="BL91" s="32">
        <f t="shared" si="64"/>
        <v>28.826355525051479</v>
      </c>
      <c r="BM91" s="32">
        <f t="shared" si="65"/>
        <v>53.828806745759387</v>
      </c>
      <c r="BN91" s="32">
        <f t="shared" si="66"/>
        <v>52.35807432101187</v>
      </c>
      <c r="BO91" s="32">
        <f t="shared" si="67"/>
        <v>1.4707324247475171</v>
      </c>
      <c r="BP91" s="20">
        <v>13</v>
      </c>
      <c r="BQ91" s="20">
        <v>10</v>
      </c>
      <c r="BR91" s="35">
        <v>76</v>
      </c>
      <c r="BS91" s="35">
        <v>88</v>
      </c>
      <c r="BT91" s="20">
        <v>46</v>
      </c>
      <c r="BU91" s="20">
        <v>34</v>
      </c>
      <c r="BV91" s="20">
        <v>48</v>
      </c>
      <c r="BW91" s="20">
        <v>46</v>
      </c>
      <c r="BX91" s="20">
        <v>88</v>
      </c>
      <c r="BY91" s="20">
        <v>89</v>
      </c>
      <c r="BZ91" s="33">
        <f t="shared" si="68"/>
        <v>0.49717514124293788</v>
      </c>
      <c r="CA91" s="23">
        <v>5.85</v>
      </c>
      <c r="CB91" s="39">
        <f t="shared" si="69"/>
        <v>1.9693990914141821</v>
      </c>
      <c r="CC91" s="38">
        <f t="shared" si="70"/>
        <v>2.7910067547719541</v>
      </c>
      <c r="CD91" s="38">
        <f t="shared" si="71"/>
        <v>2.3922915040902462</v>
      </c>
      <c r="CE91" s="32">
        <f t="shared" si="72"/>
        <v>25.438032993492953</v>
      </c>
      <c r="CF91" s="32">
        <f t="shared" si="73"/>
        <v>30.780817352627842</v>
      </c>
      <c r="CG91" s="32">
        <f t="shared" si="74"/>
        <v>48.643260583168342</v>
      </c>
      <c r="CH91" s="32">
        <f t="shared" si="75"/>
        <v>58.451655749938354</v>
      </c>
      <c r="CI91" s="32">
        <f t="shared" si="76"/>
        <v>11.279127591517529</v>
      </c>
      <c r="CJ91">
        <v>752.41666699999996</v>
      </c>
      <c r="CK91">
        <v>35</v>
      </c>
      <c r="CL91">
        <v>30</v>
      </c>
      <c r="CM91" s="35">
        <v>284</v>
      </c>
      <c r="CN91">
        <v>356</v>
      </c>
      <c r="CO91">
        <v>133</v>
      </c>
      <c r="CP91">
        <v>134</v>
      </c>
      <c r="CQ91">
        <v>158</v>
      </c>
      <c r="CR91">
        <v>213</v>
      </c>
      <c r="CS91" s="20">
        <v>0</v>
      </c>
      <c r="CT91" s="20">
        <v>1</v>
      </c>
      <c r="CU91" s="35">
        <f t="shared" si="77"/>
        <v>1</v>
      </c>
      <c r="CV91" s="38">
        <f t="shared" si="78"/>
        <v>0</v>
      </c>
      <c r="CW91" s="38">
        <f t="shared" si="79"/>
        <v>0.2820653451382904</v>
      </c>
      <c r="CX91" s="38">
        <f t="shared" si="80"/>
        <v>0.2820653451382904</v>
      </c>
      <c r="CY91" s="40">
        <v>8.06</v>
      </c>
      <c r="CZ91" s="40">
        <v>8.75</v>
      </c>
      <c r="DA91" s="40">
        <v>10.58</v>
      </c>
      <c r="DB91" s="40">
        <v>8.5</v>
      </c>
      <c r="DC91" s="40">
        <v>7.33</v>
      </c>
      <c r="DD91" s="40">
        <v>8.4</v>
      </c>
      <c r="DE91">
        <v>0</v>
      </c>
      <c r="DF91">
        <v>0</v>
      </c>
      <c r="DG91" s="33" t="str">
        <f t="shared" si="81"/>
        <v xml:space="preserve"> </v>
      </c>
      <c r="DH91">
        <v>0</v>
      </c>
      <c r="DI91">
        <v>0</v>
      </c>
      <c r="DJ91">
        <v>0</v>
      </c>
      <c r="DK91">
        <v>0</v>
      </c>
      <c r="DL91">
        <v>0</v>
      </c>
      <c r="DM91" s="1" t="s">
        <v>497</v>
      </c>
      <c r="DN91" t="s">
        <v>498</v>
      </c>
    </row>
    <row r="92" spans="1:118" ht="13.5" customHeight="1" x14ac:dyDescent="0.25">
      <c r="A92" t="s">
        <v>248</v>
      </c>
      <c r="B92" t="s">
        <v>499</v>
      </c>
      <c r="C92" s="1" t="s">
        <v>2</v>
      </c>
      <c r="D92" s="2" t="s">
        <v>142</v>
      </c>
      <c r="E92">
        <v>27</v>
      </c>
      <c r="F92">
        <f>(4/27)</f>
        <v>0.14814814814814814</v>
      </c>
      <c r="G92" t="s">
        <v>544</v>
      </c>
      <c r="H92">
        <f>(14/49)</f>
        <v>0.2857142857142857</v>
      </c>
      <c r="I92">
        <v>2</v>
      </c>
      <c r="J92">
        <v>2</v>
      </c>
      <c r="K92" s="29">
        <f t="shared" si="41"/>
        <v>4</v>
      </c>
      <c r="L92" s="30">
        <f t="shared" si="42"/>
        <v>0.60882800608828003</v>
      </c>
      <c r="M92" s="20">
        <v>2</v>
      </c>
      <c r="N92" s="20">
        <v>0</v>
      </c>
      <c r="O92" s="20">
        <v>2</v>
      </c>
      <c r="P92" s="20">
        <v>37</v>
      </c>
      <c r="Q92" s="20">
        <v>14</v>
      </c>
      <c r="R92" s="20">
        <v>34</v>
      </c>
      <c r="S92" s="20">
        <v>20</v>
      </c>
      <c r="T92" s="31">
        <f t="shared" si="43"/>
        <v>5.4054054054054057E-2</v>
      </c>
      <c r="U92" s="31">
        <f t="shared" si="44"/>
        <v>2.3529411764705882E-2</v>
      </c>
      <c r="V92">
        <v>23652</v>
      </c>
      <c r="W92" s="32">
        <f t="shared" si="45"/>
        <v>14.6</v>
      </c>
      <c r="X92" s="23">
        <v>392.99</v>
      </c>
      <c r="Y92" s="32">
        <f t="shared" si="46"/>
        <v>14.555185185185186</v>
      </c>
      <c r="Z92" s="23">
        <v>903.63</v>
      </c>
      <c r="AA92" s="32">
        <f t="shared" si="47"/>
        <v>33.467777777777776</v>
      </c>
      <c r="AB92" s="33">
        <f t="shared" si="48"/>
        <v>0.30308802887507519</v>
      </c>
      <c r="AC92" s="34">
        <f t="shared" si="49"/>
        <v>0</v>
      </c>
      <c r="AD92" s="20">
        <v>23</v>
      </c>
      <c r="AE92" s="20">
        <v>10</v>
      </c>
      <c r="AF92" s="20">
        <v>40</v>
      </c>
      <c r="AG92" s="20">
        <v>10</v>
      </c>
      <c r="AH92" s="20">
        <v>5</v>
      </c>
      <c r="AI92" s="31">
        <f t="shared" si="50"/>
        <v>0.16666666666666666</v>
      </c>
      <c r="AJ92" s="31">
        <f t="shared" si="51"/>
        <v>0.16666666666666666</v>
      </c>
      <c r="AK92" s="31">
        <f t="shared" si="52"/>
        <v>0.33333333333333331</v>
      </c>
      <c r="AL92" s="20">
        <v>116</v>
      </c>
      <c r="AM92" s="33">
        <f t="shared" si="53"/>
        <v>0.30129870129870129</v>
      </c>
      <c r="AN92" s="20">
        <v>115</v>
      </c>
      <c r="AO92" s="33">
        <f t="shared" si="54"/>
        <v>0.29870129870129869</v>
      </c>
      <c r="AP92" s="20">
        <v>154</v>
      </c>
      <c r="AQ92" s="33">
        <f t="shared" si="55"/>
        <v>0.4</v>
      </c>
      <c r="AR92" s="33">
        <f t="shared" si="56"/>
        <v>0.50216450216450215</v>
      </c>
      <c r="AS92" s="1">
        <v>3</v>
      </c>
      <c r="AT92" s="23">
        <v>-2.68</v>
      </c>
      <c r="AU92" s="20">
        <v>17.239999999999998</v>
      </c>
      <c r="AV92" s="35">
        <v>5</v>
      </c>
      <c r="AW92" s="36">
        <v>-9.6000000000000002E-2</v>
      </c>
      <c r="AX92" s="1">
        <v>5</v>
      </c>
      <c r="AY92" s="36">
        <v>-0.19700000000000001</v>
      </c>
      <c r="AZ92" s="20">
        <v>50.07</v>
      </c>
      <c r="BA92" s="20">
        <v>16.940000000000001</v>
      </c>
      <c r="BB92" s="36">
        <v>-1.6560000000000001</v>
      </c>
      <c r="BC92" s="36">
        <v>0.49299999999999999</v>
      </c>
      <c r="BD92" s="20">
        <v>50.7</v>
      </c>
      <c r="BE92" s="33">
        <f t="shared" si="57"/>
        <v>6.2827225130890049E-2</v>
      </c>
      <c r="BF92" s="37">
        <f t="shared" si="58"/>
        <v>0.92342342342342343</v>
      </c>
      <c r="BG92" s="35">
        <f t="shared" si="59"/>
        <v>986.25064855431344</v>
      </c>
      <c r="BH92" s="33">
        <f t="shared" si="60"/>
        <v>-1.3749351445686522E-2</v>
      </c>
      <c r="BI92" s="38">
        <f t="shared" si="61"/>
        <v>1.8321076872185043</v>
      </c>
      <c r="BJ92" s="38">
        <f t="shared" si="62"/>
        <v>2.5954858902262141</v>
      </c>
      <c r="BK92" s="32">
        <f t="shared" si="63"/>
        <v>29.161047354894524</v>
      </c>
      <c r="BL92" s="32">
        <f t="shared" si="64"/>
        <v>33.893992213542326</v>
      </c>
      <c r="BM92" s="32">
        <f t="shared" si="65"/>
        <v>53.283798569938163</v>
      </c>
      <c r="BN92" s="32">
        <f t="shared" si="66"/>
        <v>58.78012163159368</v>
      </c>
      <c r="BO92" s="32">
        <f t="shared" si="67"/>
        <v>-5.4963230616555165</v>
      </c>
      <c r="BP92" s="20">
        <v>12</v>
      </c>
      <c r="BQ92" s="20">
        <v>17</v>
      </c>
      <c r="BR92" s="35">
        <v>179</v>
      </c>
      <c r="BS92" s="35">
        <v>205</v>
      </c>
      <c r="BT92" s="20">
        <v>60</v>
      </c>
      <c r="BU92" s="20">
        <v>74</v>
      </c>
      <c r="BV92" s="20">
        <v>98</v>
      </c>
      <c r="BW92" s="20">
        <v>89</v>
      </c>
      <c r="BX92" s="20">
        <v>152</v>
      </c>
      <c r="BY92" s="20">
        <v>184</v>
      </c>
      <c r="BZ92" s="33">
        <f t="shared" si="68"/>
        <v>0.45238095238095238</v>
      </c>
      <c r="CA92" s="23">
        <v>-6.35</v>
      </c>
      <c r="CB92" s="39">
        <f t="shared" si="69"/>
        <v>-6.3282711136035683</v>
      </c>
      <c r="CC92" s="38">
        <f t="shared" si="70"/>
        <v>1.9939460289833331</v>
      </c>
      <c r="CD92" s="38">
        <f t="shared" si="71"/>
        <v>2.4576544078166669</v>
      </c>
      <c r="CE92" s="32">
        <f t="shared" si="72"/>
        <v>28.935402839200002</v>
      </c>
      <c r="CF92" s="32">
        <f t="shared" si="73"/>
        <v>29.445482055916663</v>
      </c>
      <c r="CG92" s="32">
        <f t="shared" si="74"/>
        <v>55.181297081166662</v>
      </c>
      <c r="CH92" s="32">
        <f t="shared" si="75"/>
        <v>54.068396971966664</v>
      </c>
      <c r="CI92" s="32">
        <f t="shared" si="76"/>
        <v>-6.6092231708555147</v>
      </c>
      <c r="CJ92">
        <v>1293.916667</v>
      </c>
      <c r="CK92">
        <v>43</v>
      </c>
      <c r="CL92">
        <v>53</v>
      </c>
      <c r="CM92" s="35">
        <v>581</v>
      </c>
      <c r="CN92">
        <v>582</v>
      </c>
      <c r="CO92">
        <v>208</v>
      </c>
      <c r="CP92">
        <v>218</v>
      </c>
      <c r="CQ92">
        <v>358</v>
      </c>
      <c r="CR92">
        <v>313</v>
      </c>
      <c r="CS92" s="20">
        <v>2</v>
      </c>
      <c r="CT92" s="20">
        <v>1</v>
      </c>
      <c r="CU92" s="35">
        <f t="shared" si="77"/>
        <v>-1</v>
      </c>
      <c r="CV92" s="38">
        <f t="shared" si="78"/>
        <v>0.30441400304414001</v>
      </c>
      <c r="CW92" s="38">
        <f t="shared" si="79"/>
        <v>0.15220700152207001</v>
      </c>
      <c r="CX92" s="38">
        <f t="shared" si="80"/>
        <v>-0.15220700152207001</v>
      </c>
      <c r="CY92" s="40">
        <v>14.21</v>
      </c>
      <c r="CZ92" s="40">
        <v>18</v>
      </c>
      <c r="DA92" s="40">
        <v>13.58</v>
      </c>
      <c r="DB92" s="40">
        <v>13.04</v>
      </c>
      <c r="DC92" s="40">
        <v>13.69</v>
      </c>
      <c r="DD92" s="40">
        <v>15.68</v>
      </c>
      <c r="DE92">
        <v>0</v>
      </c>
      <c r="DF92">
        <v>0</v>
      </c>
      <c r="DG92" s="33" t="str">
        <f t="shared" si="81"/>
        <v xml:space="preserve"> </v>
      </c>
      <c r="DH92">
        <v>0</v>
      </c>
      <c r="DI92">
        <v>0</v>
      </c>
      <c r="DJ92">
        <v>0</v>
      </c>
      <c r="DK92">
        <v>0</v>
      </c>
      <c r="DL92">
        <v>0</v>
      </c>
      <c r="DM92" s="1" t="s">
        <v>500</v>
      </c>
      <c r="DN92" t="s">
        <v>501</v>
      </c>
    </row>
    <row r="93" spans="1:118" x14ac:dyDescent="0.25">
      <c r="A93" t="s">
        <v>315</v>
      </c>
      <c r="B93" t="s">
        <v>502</v>
      </c>
      <c r="C93" s="1" t="s">
        <v>394</v>
      </c>
      <c r="D93" s="2" t="s">
        <v>3</v>
      </c>
      <c r="E93">
        <v>33</v>
      </c>
      <c r="F93">
        <f>(4/33)</f>
        <v>0.12121212121212122</v>
      </c>
      <c r="G93" t="s">
        <v>539</v>
      </c>
      <c r="H93">
        <f>(62/48)</f>
        <v>1.2916666666666667</v>
      </c>
      <c r="I93">
        <v>2</v>
      </c>
      <c r="J93">
        <v>2</v>
      </c>
      <c r="K93" s="29">
        <f t="shared" si="41"/>
        <v>4</v>
      </c>
      <c r="L93" s="30">
        <f t="shared" si="42"/>
        <v>0.65780457722351648</v>
      </c>
      <c r="M93" s="20">
        <v>2</v>
      </c>
      <c r="N93" s="20">
        <v>1</v>
      </c>
      <c r="O93" s="20">
        <v>1</v>
      </c>
      <c r="P93" s="20">
        <v>51</v>
      </c>
      <c r="Q93" s="20">
        <v>22</v>
      </c>
      <c r="R93" s="20">
        <v>21</v>
      </c>
      <c r="S93" s="20">
        <v>52</v>
      </c>
      <c r="T93" s="31">
        <f t="shared" si="43"/>
        <v>3.9215686274509803E-2</v>
      </c>
      <c r="U93" s="31">
        <f t="shared" si="44"/>
        <v>2.1276595744680851E-2</v>
      </c>
      <c r="V93">
        <v>21891</v>
      </c>
      <c r="W93" s="32">
        <f t="shared" si="45"/>
        <v>11.056060606060607</v>
      </c>
      <c r="X93" s="23">
        <v>362.37</v>
      </c>
      <c r="Y93" s="32">
        <f t="shared" si="46"/>
        <v>10.980909090909091</v>
      </c>
      <c r="Z93" s="23">
        <v>1191.8800000000001</v>
      </c>
      <c r="AA93" s="32">
        <f t="shared" si="47"/>
        <v>36.117575757575764</v>
      </c>
      <c r="AB93" s="33">
        <f t="shared" si="48"/>
        <v>0.23314782049219876</v>
      </c>
      <c r="AC93" s="34">
        <f t="shared" si="49"/>
        <v>23.428571428571427</v>
      </c>
      <c r="AD93" s="20">
        <v>10</v>
      </c>
      <c r="AE93" s="20">
        <v>93</v>
      </c>
      <c r="AF93" s="20">
        <v>40</v>
      </c>
      <c r="AG93" s="20">
        <v>4</v>
      </c>
      <c r="AH93" s="20">
        <v>8</v>
      </c>
      <c r="AI93" s="31">
        <f t="shared" si="50"/>
        <v>0.2857142857142857</v>
      </c>
      <c r="AJ93" s="31">
        <f t="shared" si="51"/>
        <v>0.2857142857142857</v>
      </c>
      <c r="AK93" s="31">
        <f t="shared" si="52"/>
        <v>0.5714285714285714</v>
      </c>
      <c r="AL93" s="20">
        <v>100</v>
      </c>
      <c r="AM93" s="33">
        <f t="shared" si="53"/>
        <v>0.34602076124567471</v>
      </c>
      <c r="AN93" s="20">
        <v>81</v>
      </c>
      <c r="AO93" s="33">
        <f t="shared" si="54"/>
        <v>0.28027681660899656</v>
      </c>
      <c r="AP93" s="20">
        <v>108</v>
      </c>
      <c r="AQ93" s="33">
        <f t="shared" si="55"/>
        <v>0.37370242214532873</v>
      </c>
      <c r="AR93" s="33">
        <f t="shared" si="56"/>
        <v>0.5524861878453039</v>
      </c>
      <c r="AS93" s="1">
        <v>13</v>
      </c>
      <c r="AT93" s="23">
        <v>6.53</v>
      </c>
      <c r="AU93" s="20">
        <v>17.079999999999998</v>
      </c>
      <c r="AV93" s="35">
        <v>11</v>
      </c>
      <c r="AW93" s="36">
        <v>0.26600000000000001</v>
      </c>
      <c r="AX93" s="1">
        <v>9</v>
      </c>
      <c r="AY93" s="36">
        <v>-0.77800000000000002</v>
      </c>
      <c r="AZ93" s="20">
        <v>49.67</v>
      </c>
      <c r="BA93" s="20">
        <v>17.8</v>
      </c>
      <c r="BB93" s="36">
        <v>0.27300000000000002</v>
      </c>
      <c r="BC93" s="36">
        <v>5.3890000000000002</v>
      </c>
      <c r="BD93" s="20">
        <v>52.42</v>
      </c>
      <c r="BE93" s="33">
        <f t="shared" si="57"/>
        <v>4.2682926829268296E-2</v>
      </c>
      <c r="BF93" s="37">
        <f t="shared" si="58"/>
        <v>0.94155844155844159</v>
      </c>
      <c r="BG93" s="35">
        <f t="shared" si="59"/>
        <v>984.24136838770983</v>
      </c>
      <c r="BH93" s="33">
        <f t="shared" si="60"/>
        <v>-1.575863161229011E-2</v>
      </c>
      <c r="BI93" s="38">
        <f t="shared" si="61"/>
        <v>1.1590363440682176</v>
      </c>
      <c r="BJ93" s="38">
        <f t="shared" si="62"/>
        <v>1.4901895852305653</v>
      </c>
      <c r="BK93" s="32">
        <f t="shared" si="63"/>
        <v>27.154565775312527</v>
      </c>
      <c r="BL93" s="32">
        <f t="shared" si="64"/>
        <v>25.498799569500786</v>
      </c>
      <c r="BM93" s="32">
        <f t="shared" si="65"/>
        <v>56.461627618180309</v>
      </c>
      <c r="BN93" s="32">
        <f t="shared" si="66"/>
        <v>50.1697160360957</v>
      </c>
      <c r="BO93" s="32">
        <f t="shared" si="67"/>
        <v>6.2919115820846088</v>
      </c>
      <c r="BP93" s="20">
        <v>7</v>
      </c>
      <c r="BQ93" s="20">
        <v>9</v>
      </c>
      <c r="BR93" s="35">
        <v>157</v>
      </c>
      <c r="BS93" s="35">
        <v>145</v>
      </c>
      <c r="BT93" s="20">
        <v>88</v>
      </c>
      <c r="BU93" s="20">
        <v>71</v>
      </c>
      <c r="BV93" s="20">
        <v>89</v>
      </c>
      <c r="BW93" s="20">
        <v>78</v>
      </c>
      <c r="BX93" s="20">
        <v>154</v>
      </c>
      <c r="BY93" s="20">
        <v>125</v>
      </c>
      <c r="BZ93" s="33">
        <f t="shared" si="68"/>
        <v>0.55197132616487454</v>
      </c>
      <c r="CA93" s="23">
        <v>0.65</v>
      </c>
      <c r="CB93" s="39">
        <f t="shared" si="69"/>
        <v>-1.2247569262026854</v>
      </c>
      <c r="CC93" s="38">
        <f t="shared" si="70"/>
        <v>2.0081742992308436</v>
      </c>
      <c r="CD93" s="38">
        <f t="shared" si="71"/>
        <v>1.776461880088823</v>
      </c>
      <c r="CE93" s="32">
        <f t="shared" si="72"/>
        <v>29.38885849451292</v>
      </c>
      <c r="CF93" s="32">
        <f t="shared" si="73"/>
        <v>25.565603578669585</v>
      </c>
      <c r="CG93" s="32">
        <f t="shared" si="74"/>
        <v>57.039873845460683</v>
      </c>
      <c r="CH93" s="32">
        <f t="shared" si="75"/>
        <v>50.01126379815274</v>
      </c>
      <c r="CI93" s="32">
        <f t="shared" si="76"/>
        <v>-0.73669846522333415</v>
      </c>
      <c r="CJ93">
        <v>1553.65</v>
      </c>
      <c r="CK93">
        <v>52</v>
      </c>
      <c r="CL93">
        <v>46</v>
      </c>
      <c r="CM93" s="35">
        <v>709</v>
      </c>
      <c r="CN93">
        <v>616</v>
      </c>
      <c r="CO93">
        <v>344</v>
      </c>
      <c r="CP93">
        <v>280</v>
      </c>
      <c r="CQ93">
        <v>372</v>
      </c>
      <c r="CR93">
        <v>353</v>
      </c>
      <c r="CS93" s="20">
        <v>8</v>
      </c>
      <c r="CT93" s="20">
        <v>3</v>
      </c>
      <c r="CU93" s="35">
        <f t="shared" si="77"/>
        <v>-5</v>
      </c>
      <c r="CV93" s="38">
        <f t="shared" si="78"/>
        <v>1.315609154447033</v>
      </c>
      <c r="CW93" s="38">
        <f t="shared" si="79"/>
        <v>0.49335343291763739</v>
      </c>
      <c r="CX93" s="38">
        <f t="shared" si="80"/>
        <v>-0.82225572152939552</v>
      </c>
      <c r="CY93" s="40">
        <v>12.93</v>
      </c>
      <c r="CZ93" s="40">
        <v>11.4</v>
      </c>
      <c r="DA93" s="40">
        <v>13.91</v>
      </c>
      <c r="DB93" s="40">
        <v>10.14</v>
      </c>
      <c r="DC93" s="40">
        <v>17.14</v>
      </c>
      <c r="DD93" s="40">
        <v>16.829999999999998</v>
      </c>
      <c r="DE93">
        <v>1</v>
      </c>
      <c r="DF93">
        <v>2</v>
      </c>
      <c r="DG93" s="33">
        <f t="shared" si="81"/>
        <v>0.33333333333333331</v>
      </c>
      <c r="DH93">
        <v>-0.02</v>
      </c>
      <c r="DI93">
        <v>-0.73</v>
      </c>
      <c r="DJ93">
        <v>3</v>
      </c>
      <c r="DK93">
        <v>0</v>
      </c>
      <c r="DL93">
        <v>0</v>
      </c>
      <c r="DM93" s="1" t="s">
        <v>503</v>
      </c>
      <c r="DN93" t="s">
        <v>504</v>
      </c>
    </row>
    <row r="94" spans="1:118" x14ac:dyDescent="0.25">
      <c r="A94" t="s">
        <v>128</v>
      </c>
      <c r="B94" t="s">
        <v>505</v>
      </c>
      <c r="C94" s="1" t="s">
        <v>300</v>
      </c>
      <c r="D94" s="2" t="s">
        <v>163</v>
      </c>
      <c r="E94">
        <v>20</v>
      </c>
      <c r="F94">
        <f>(4/20)</f>
        <v>0.2</v>
      </c>
      <c r="G94" t="s">
        <v>544</v>
      </c>
      <c r="H94">
        <f>(20/60)</f>
        <v>0.33333333333333331</v>
      </c>
      <c r="I94">
        <v>2</v>
      </c>
      <c r="J94">
        <v>2</v>
      </c>
      <c r="K94" s="29">
        <f t="shared" si="41"/>
        <v>4</v>
      </c>
      <c r="L94" s="30">
        <f t="shared" si="42"/>
        <v>1.1617587736990724</v>
      </c>
      <c r="M94" s="20">
        <v>2</v>
      </c>
      <c r="N94" s="20">
        <v>0</v>
      </c>
      <c r="O94" s="20">
        <v>2</v>
      </c>
      <c r="P94" s="20">
        <v>34</v>
      </c>
      <c r="Q94" s="20">
        <v>8</v>
      </c>
      <c r="R94" s="20">
        <v>9</v>
      </c>
      <c r="S94" s="20">
        <v>32</v>
      </c>
      <c r="T94" s="31">
        <f t="shared" si="43"/>
        <v>5.8823529411764705E-2</v>
      </c>
      <c r="U94" s="31">
        <f t="shared" si="44"/>
        <v>3.9215686274509803E-2</v>
      </c>
      <c r="V94">
        <v>12395</v>
      </c>
      <c r="W94" s="32">
        <f t="shared" si="45"/>
        <v>10.329166666666667</v>
      </c>
      <c r="X94" s="23">
        <v>208.98</v>
      </c>
      <c r="Y94" s="32">
        <f t="shared" si="46"/>
        <v>10.449</v>
      </c>
      <c r="Z94" s="23">
        <v>769.39</v>
      </c>
      <c r="AA94" s="32">
        <f t="shared" si="47"/>
        <v>38.469499999999996</v>
      </c>
      <c r="AB94" s="33">
        <f t="shared" si="48"/>
        <v>0.21360017171417769</v>
      </c>
      <c r="AC94" s="34">
        <f t="shared" si="49"/>
        <v>0</v>
      </c>
      <c r="AD94" s="20">
        <v>10</v>
      </c>
      <c r="AE94" s="20">
        <v>46</v>
      </c>
      <c r="AF94" s="20">
        <v>19</v>
      </c>
      <c r="AG94" s="20">
        <v>5</v>
      </c>
      <c r="AH94" s="20">
        <v>8</v>
      </c>
      <c r="AI94" s="31">
        <f t="shared" si="50"/>
        <v>0.4</v>
      </c>
      <c r="AJ94" s="31">
        <f t="shared" si="51"/>
        <v>0.4</v>
      </c>
      <c r="AK94" s="31">
        <f t="shared" si="52"/>
        <v>0.8</v>
      </c>
      <c r="AL94" s="20">
        <v>55</v>
      </c>
      <c r="AM94" s="33">
        <f t="shared" si="53"/>
        <v>0.29100529100529099</v>
      </c>
      <c r="AN94" s="20">
        <v>53</v>
      </c>
      <c r="AO94" s="33">
        <f t="shared" si="54"/>
        <v>0.28042328042328041</v>
      </c>
      <c r="AP94" s="20">
        <v>81</v>
      </c>
      <c r="AQ94" s="33">
        <f t="shared" si="55"/>
        <v>0.42857142857142855</v>
      </c>
      <c r="AR94" s="33">
        <f t="shared" si="56"/>
        <v>0.5092592592592593</v>
      </c>
      <c r="AS94" s="1">
        <v>8</v>
      </c>
      <c r="AT94" s="23">
        <v>-2.27</v>
      </c>
      <c r="AU94" s="20">
        <v>16.82</v>
      </c>
      <c r="AV94" s="35">
        <v>12</v>
      </c>
      <c r="AW94" s="36">
        <v>-0.624</v>
      </c>
      <c r="AX94" s="1">
        <v>13</v>
      </c>
      <c r="AY94" s="36">
        <v>-1.708</v>
      </c>
      <c r="AZ94" s="20">
        <v>49.54</v>
      </c>
      <c r="BA94" s="20">
        <v>16.62</v>
      </c>
      <c r="BB94" s="36">
        <v>0.41100000000000003</v>
      </c>
      <c r="BC94" s="36">
        <v>-5.5490000000000004</v>
      </c>
      <c r="BD94" s="20">
        <v>48.64</v>
      </c>
      <c r="BE94" s="33">
        <f t="shared" si="57"/>
        <v>4.716981132075472E-2</v>
      </c>
      <c r="BF94" s="37">
        <f t="shared" si="58"/>
        <v>0.89411764705882357</v>
      </c>
      <c r="BG94" s="35">
        <f t="shared" si="59"/>
        <v>941.28745837957831</v>
      </c>
      <c r="BH94" s="33">
        <f t="shared" si="60"/>
        <v>-5.8712541620421707E-2</v>
      </c>
      <c r="BI94" s="38">
        <f t="shared" si="61"/>
        <v>1.4355440712029861</v>
      </c>
      <c r="BJ94" s="38">
        <f t="shared" si="62"/>
        <v>2.5839793281653747</v>
      </c>
      <c r="BK94" s="32">
        <f t="shared" si="63"/>
        <v>30.433534309503301</v>
      </c>
      <c r="BL94" s="32">
        <f t="shared" si="64"/>
        <v>24.404249210450761</v>
      </c>
      <c r="BM94" s="32">
        <f t="shared" si="65"/>
        <v>53.976457077232276</v>
      </c>
      <c r="BN94" s="32">
        <f t="shared" si="66"/>
        <v>52.828021820269889</v>
      </c>
      <c r="BO94" s="32">
        <f t="shared" si="67"/>
        <v>1.1484352569623866</v>
      </c>
      <c r="BP94" s="20">
        <v>5</v>
      </c>
      <c r="BQ94" s="20">
        <v>9</v>
      </c>
      <c r="BR94" s="35">
        <v>101</v>
      </c>
      <c r="BS94" s="35">
        <v>76</v>
      </c>
      <c r="BT94" s="20">
        <v>32</v>
      </c>
      <c r="BU94" s="20">
        <v>48</v>
      </c>
      <c r="BV94" s="20">
        <v>50</v>
      </c>
      <c r="BW94" s="20">
        <v>51</v>
      </c>
      <c r="BX94" s="20">
        <v>86</v>
      </c>
      <c r="BY94" s="20">
        <v>89</v>
      </c>
      <c r="BZ94" s="33">
        <f t="shared" si="68"/>
        <v>0.49142857142857144</v>
      </c>
      <c r="CA94" s="23">
        <v>-0.71</v>
      </c>
      <c r="CB94" s="39">
        <f t="shared" si="69"/>
        <v>4.6772130347401628</v>
      </c>
      <c r="CC94" s="38">
        <f t="shared" si="70"/>
        <v>1.9583177513202727</v>
      </c>
      <c r="CD94" s="38">
        <f t="shared" si="71"/>
        <v>2.9374766269804091</v>
      </c>
      <c r="CE94" s="32">
        <f t="shared" si="72"/>
        <v>28.885186831974021</v>
      </c>
      <c r="CF94" s="32">
        <f t="shared" si="73"/>
        <v>29.986740567091676</v>
      </c>
      <c r="CG94" s="32">
        <f t="shared" si="74"/>
        <v>56.913609647745425</v>
      </c>
      <c r="CH94" s="32">
        <f t="shared" si="75"/>
        <v>56.179240491000321</v>
      </c>
      <c r="CI94" s="32">
        <f t="shared" si="76"/>
        <v>0.41406610021728341</v>
      </c>
      <c r="CJ94">
        <v>980.43333299999995</v>
      </c>
      <c r="CK94">
        <v>32</v>
      </c>
      <c r="CL94">
        <v>48</v>
      </c>
      <c r="CM94" s="35">
        <v>440</v>
      </c>
      <c r="CN94">
        <v>442</v>
      </c>
      <c r="CO94">
        <v>173</v>
      </c>
      <c r="CP94">
        <v>195</v>
      </c>
      <c r="CQ94">
        <v>285</v>
      </c>
      <c r="CR94">
        <v>233</v>
      </c>
      <c r="CS94" s="20">
        <v>5</v>
      </c>
      <c r="CT94" s="20">
        <v>1</v>
      </c>
      <c r="CU94" s="35">
        <f t="shared" si="77"/>
        <v>-4</v>
      </c>
      <c r="CV94" s="38">
        <f t="shared" si="78"/>
        <v>1.4521984671238402</v>
      </c>
      <c r="CW94" s="38">
        <f t="shared" si="79"/>
        <v>0.29043969342476805</v>
      </c>
      <c r="CX94" s="38">
        <f t="shared" si="80"/>
        <v>-1.1617587736990722</v>
      </c>
      <c r="CY94" s="40">
        <v>6.88</v>
      </c>
      <c r="CZ94" s="40">
        <v>7.52</v>
      </c>
      <c r="DA94" s="40">
        <v>5.45</v>
      </c>
      <c r="DB94" s="40">
        <v>10.58</v>
      </c>
      <c r="DC94" s="40">
        <v>5.91</v>
      </c>
      <c r="DD94" s="40">
        <v>7.22</v>
      </c>
      <c r="DE94">
        <v>39</v>
      </c>
      <c r="DF94">
        <v>36</v>
      </c>
      <c r="DG94" s="33">
        <f t="shared" si="81"/>
        <v>0.52</v>
      </c>
      <c r="DH94">
        <v>-0.02</v>
      </c>
      <c r="DI94">
        <v>1.52</v>
      </c>
      <c r="DJ94">
        <v>20</v>
      </c>
      <c r="DK94">
        <v>37</v>
      </c>
      <c r="DL94">
        <v>18</v>
      </c>
      <c r="DM94" s="1" t="s">
        <v>506</v>
      </c>
      <c r="DN94" t="s">
        <v>507</v>
      </c>
    </row>
    <row r="95" spans="1:118" x14ac:dyDescent="0.25">
      <c r="A95" t="s">
        <v>508</v>
      </c>
      <c r="B95" t="s">
        <v>509</v>
      </c>
      <c r="C95" s="1" t="s">
        <v>268</v>
      </c>
      <c r="D95" s="2" t="s">
        <v>157</v>
      </c>
      <c r="E95">
        <v>18</v>
      </c>
      <c r="F95">
        <f>(4/18)</f>
        <v>0.22222222222222221</v>
      </c>
      <c r="G95" t="s">
        <v>543</v>
      </c>
      <c r="H95">
        <f>(19/41)</f>
        <v>0.46341463414634149</v>
      </c>
      <c r="I95">
        <v>0</v>
      </c>
      <c r="J95">
        <v>3</v>
      </c>
      <c r="K95" s="29">
        <f t="shared" si="41"/>
        <v>3</v>
      </c>
      <c r="L95" s="30">
        <f t="shared" si="42"/>
        <v>1.0144655269584819</v>
      </c>
      <c r="M95" s="20">
        <v>0</v>
      </c>
      <c r="N95" s="20">
        <v>2</v>
      </c>
      <c r="O95" s="20">
        <v>1</v>
      </c>
      <c r="P95" s="20">
        <v>12</v>
      </c>
      <c r="Q95" s="20">
        <v>6</v>
      </c>
      <c r="R95" s="20">
        <v>2</v>
      </c>
      <c r="S95" s="20">
        <v>15</v>
      </c>
      <c r="T95" s="31">
        <f t="shared" si="43"/>
        <v>0</v>
      </c>
      <c r="U95" s="31">
        <f t="shared" si="44"/>
        <v>0</v>
      </c>
      <c r="V95">
        <v>10646</v>
      </c>
      <c r="W95" s="32">
        <f t="shared" si="45"/>
        <v>9.8574074074074076</v>
      </c>
      <c r="X95" s="23">
        <v>175.68</v>
      </c>
      <c r="Y95" s="32">
        <f t="shared" si="46"/>
        <v>9.76</v>
      </c>
      <c r="Z95" s="23">
        <v>700.98</v>
      </c>
      <c r="AA95" s="32">
        <f t="shared" si="47"/>
        <v>38.943333333333335</v>
      </c>
      <c r="AB95" s="33">
        <f t="shared" si="48"/>
        <v>0.20039696119362124</v>
      </c>
      <c r="AC95" s="34">
        <f t="shared" si="49"/>
        <v>45.5</v>
      </c>
      <c r="AD95" s="20">
        <v>5</v>
      </c>
      <c r="AE95" s="20">
        <v>18</v>
      </c>
      <c r="AF95" s="20">
        <v>26</v>
      </c>
      <c r="AG95" s="20">
        <v>1</v>
      </c>
      <c r="AH95" s="20">
        <v>6</v>
      </c>
      <c r="AI95" s="31">
        <f t="shared" si="50"/>
        <v>0</v>
      </c>
      <c r="AJ95" s="31">
        <f t="shared" si="51"/>
        <v>0.75</v>
      </c>
      <c r="AK95" s="31">
        <f t="shared" si="52"/>
        <v>0.75</v>
      </c>
      <c r="AL95" s="20">
        <v>41</v>
      </c>
      <c r="AM95" s="33">
        <f t="shared" si="53"/>
        <v>0.29710144927536231</v>
      </c>
      <c r="AN95" s="20">
        <v>35</v>
      </c>
      <c r="AO95" s="33">
        <f t="shared" si="54"/>
        <v>0.25362318840579712</v>
      </c>
      <c r="AP95" s="20">
        <v>62</v>
      </c>
      <c r="AQ95" s="33">
        <f t="shared" si="55"/>
        <v>0.44927536231884058</v>
      </c>
      <c r="AR95" s="33">
        <f t="shared" si="56"/>
        <v>0.53947368421052633</v>
      </c>
      <c r="AS95" s="1">
        <v>11</v>
      </c>
      <c r="AT95" s="23">
        <v>3.23</v>
      </c>
      <c r="AU95" s="20">
        <v>16.78</v>
      </c>
      <c r="AV95" s="35">
        <v>14</v>
      </c>
      <c r="AW95" s="36">
        <v>-0.58699999999999997</v>
      </c>
      <c r="AX95" s="1">
        <v>16</v>
      </c>
      <c r="AY95" s="36">
        <v>2.9000000000000001E-2</v>
      </c>
      <c r="AZ95" s="20">
        <v>50.14</v>
      </c>
      <c r="BA95" s="20">
        <v>16.45</v>
      </c>
      <c r="BB95" s="36">
        <v>-3.2720000000000002</v>
      </c>
      <c r="BC95" s="36">
        <v>5.0830000000000002</v>
      </c>
      <c r="BD95" s="20">
        <v>52.54</v>
      </c>
      <c r="BE95" s="33">
        <f t="shared" si="57"/>
        <v>4.3956043956043959E-2</v>
      </c>
      <c r="BF95" s="37">
        <f t="shared" si="58"/>
        <v>0.9438202247191011</v>
      </c>
      <c r="BG95" s="35">
        <f t="shared" si="59"/>
        <v>987.77626867514505</v>
      </c>
      <c r="BH95" s="33">
        <f t="shared" si="60"/>
        <v>-1.2223731324854943E-2</v>
      </c>
      <c r="BI95" s="38">
        <f t="shared" si="61"/>
        <v>1.3661202185792349</v>
      </c>
      <c r="BJ95" s="38">
        <f t="shared" si="62"/>
        <v>1.7076502732240437</v>
      </c>
      <c r="BK95" s="32">
        <f t="shared" si="63"/>
        <v>31.079234972677597</v>
      </c>
      <c r="BL95" s="32">
        <f t="shared" si="64"/>
        <v>30.39617486338798</v>
      </c>
      <c r="BM95" s="32">
        <f t="shared" si="65"/>
        <v>50.887978142076499</v>
      </c>
      <c r="BN95" s="32">
        <f t="shared" si="66"/>
        <v>53.278688524590166</v>
      </c>
      <c r="BO95" s="32">
        <f t="shared" si="67"/>
        <v>-2.3907103825136673</v>
      </c>
      <c r="BP95" s="20">
        <v>4</v>
      </c>
      <c r="BQ95" s="20">
        <v>5</v>
      </c>
      <c r="BR95" s="35">
        <v>87</v>
      </c>
      <c r="BS95" s="35">
        <v>84</v>
      </c>
      <c r="BT95" s="20">
        <v>25</v>
      </c>
      <c r="BU95" s="20">
        <v>39</v>
      </c>
      <c r="BV95" s="20">
        <v>33</v>
      </c>
      <c r="BW95" s="20">
        <v>28</v>
      </c>
      <c r="BX95" s="20">
        <v>72</v>
      </c>
      <c r="BY95" s="20">
        <v>71</v>
      </c>
      <c r="BZ95" s="33">
        <f t="shared" si="68"/>
        <v>0.50349650349650354</v>
      </c>
      <c r="CA95" s="23">
        <v>-7.71</v>
      </c>
      <c r="CB95" s="39">
        <f t="shared" si="69"/>
        <v>-8.4820788035662993</v>
      </c>
      <c r="CC95" s="38">
        <f t="shared" si="70"/>
        <v>3.0075187969924815</v>
      </c>
      <c r="CD95" s="38">
        <f t="shared" si="71"/>
        <v>2.3923444976076556</v>
      </c>
      <c r="CE95" s="32">
        <f t="shared" si="72"/>
        <v>32.125768967874237</v>
      </c>
      <c r="CF95" s="32">
        <f t="shared" si="73"/>
        <v>28.503075871496925</v>
      </c>
      <c r="CG95" s="32">
        <f t="shared" si="74"/>
        <v>58.031442241968563</v>
      </c>
      <c r="CH95" s="32">
        <f t="shared" si="75"/>
        <v>53.110047846889955</v>
      </c>
      <c r="CI95" s="32">
        <f t="shared" si="76"/>
        <v>-7.3121047775922747</v>
      </c>
      <c r="CJ95">
        <v>877.8</v>
      </c>
      <c r="CK95">
        <v>44</v>
      </c>
      <c r="CL95">
        <v>35</v>
      </c>
      <c r="CM95" s="35">
        <v>426</v>
      </c>
      <c r="CN95">
        <v>382</v>
      </c>
      <c r="CO95">
        <v>162</v>
      </c>
      <c r="CP95">
        <v>154</v>
      </c>
      <c r="CQ95">
        <v>217</v>
      </c>
      <c r="CR95">
        <v>206</v>
      </c>
      <c r="CS95" s="20">
        <v>1</v>
      </c>
      <c r="CT95" s="20">
        <v>1</v>
      </c>
      <c r="CU95" s="35">
        <f t="shared" si="77"/>
        <v>0</v>
      </c>
      <c r="CV95" s="38">
        <f t="shared" si="78"/>
        <v>0.33815517565282732</v>
      </c>
      <c r="CW95" s="38">
        <f t="shared" si="79"/>
        <v>0.33815517565282732</v>
      </c>
      <c r="CX95" s="38">
        <f t="shared" si="80"/>
        <v>0</v>
      </c>
      <c r="CY95" s="40">
        <v>6.09</v>
      </c>
      <c r="CZ95" s="40">
        <v>6.67</v>
      </c>
      <c r="DA95" s="40">
        <v>7.07</v>
      </c>
      <c r="DB95" s="40">
        <v>5.0999999999999996</v>
      </c>
      <c r="DC95" s="40">
        <v>7.78</v>
      </c>
      <c r="DD95" s="40">
        <v>6.97</v>
      </c>
      <c r="DE95">
        <v>58</v>
      </c>
      <c r="DF95">
        <v>73</v>
      </c>
      <c r="DG95" s="33">
        <f t="shared" si="81"/>
        <v>0.44274809160305345</v>
      </c>
      <c r="DH95">
        <v>-7.0000000000000007E-2</v>
      </c>
      <c r="DI95">
        <v>6.34</v>
      </c>
      <c r="DJ95">
        <v>40</v>
      </c>
      <c r="DK95">
        <v>62</v>
      </c>
      <c r="DL95">
        <v>29</v>
      </c>
      <c r="DM95" s="1" t="s">
        <v>510</v>
      </c>
      <c r="DN95" t="s">
        <v>511</v>
      </c>
    </row>
    <row r="96" spans="1:118" ht="39" x14ac:dyDescent="0.25">
      <c r="A96" t="s">
        <v>512</v>
      </c>
      <c r="B96" t="s">
        <v>513</v>
      </c>
      <c r="C96" s="1" t="s">
        <v>300</v>
      </c>
      <c r="D96" s="2" t="s">
        <v>3</v>
      </c>
      <c r="E96">
        <v>14</v>
      </c>
      <c r="F96">
        <f>(4/14)</f>
        <v>0.2857142857142857</v>
      </c>
      <c r="G96" t="s">
        <v>544</v>
      </c>
      <c r="H96">
        <f>(14/39)</f>
        <v>0.35897435897435898</v>
      </c>
      <c r="I96">
        <v>1</v>
      </c>
      <c r="J96">
        <v>3</v>
      </c>
      <c r="K96" s="29">
        <f t="shared" si="41"/>
        <v>4</v>
      </c>
      <c r="L96" s="30">
        <f t="shared" si="42"/>
        <v>1.7391304347826086</v>
      </c>
      <c r="M96" s="20">
        <v>1</v>
      </c>
      <c r="N96" s="20">
        <v>1</v>
      </c>
      <c r="O96" s="20">
        <v>2</v>
      </c>
      <c r="P96" s="20">
        <v>12</v>
      </c>
      <c r="Q96" s="20">
        <v>5</v>
      </c>
      <c r="R96" s="20">
        <v>2</v>
      </c>
      <c r="S96" s="20">
        <v>13</v>
      </c>
      <c r="T96" s="31">
        <f t="shared" si="43"/>
        <v>8.3333333333333329E-2</v>
      </c>
      <c r="U96" s="31">
        <f t="shared" si="44"/>
        <v>5.2631578947368418E-2</v>
      </c>
      <c r="V96">
        <v>8280</v>
      </c>
      <c r="W96" s="32">
        <f t="shared" si="45"/>
        <v>9.8571428571428577</v>
      </c>
      <c r="X96" s="23">
        <v>140.22999999999999</v>
      </c>
      <c r="Y96" s="32">
        <f t="shared" si="46"/>
        <v>10.016428571428571</v>
      </c>
      <c r="Z96" s="23">
        <v>529.63</v>
      </c>
      <c r="AA96" s="32">
        <f t="shared" si="47"/>
        <v>37.830714285714286</v>
      </c>
      <c r="AB96" s="33">
        <f t="shared" si="48"/>
        <v>0.20934225061953243</v>
      </c>
      <c r="AC96" s="34">
        <f t="shared" si="49"/>
        <v>11</v>
      </c>
      <c r="AD96" s="20">
        <v>7</v>
      </c>
      <c r="AE96" s="20">
        <v>54</v>
      </c>
      <c r="AF96" s="20">
        <v>20</v>
      </c>
      <c r="AG96" s="20">
        <v>2</v>
      </c>
      <c r="AH96" s="20">
        <v>2</v>
      </c>
      <c r="AI96" s="31">
        <f t="shared" si="50"/>
        <v>0.25</v>
      </c>
      <c r="AJ96" s="31">
        <f t="shared" si="51"/>
        <v>0.75</v>
      </c>
      <c r="AK96" s="31">
        <f t="shared" si="52"/>
        <v>1</v>
      </c>
      <c r="AL96" s="20">
        <v>22</v>
      </c>
      <c r="AM96" s="33">
        <f t="shared" si="53"/>
        <v>0.16666666666666666</v>
      </c>
      <c r="AN96" s="20">
        <v>63</v>
      </c>
      <c r="AO96" s="33">
        <f t="shared" si="54"/>
        <v>0.47727272727272729</v>
      </c>
      <c r="AP96" s="20">
        <v>47</v>
      </c>
      <c r="AQ96" s="33">
        <f t="shared" si="55"/>
        <v>0.35606060606060608</v>
      </c>
      <c r="AR96" s="33">
        <f t="shared" si="56"/>
        <v>0.25882352941176473</v>
      </c>
      <c r="AS96" s="1">
        <v>2</v>
      </c>
      <c r="AT96" s="23">
        <v>-30.27</v>
      </c>
      <c r="AU96" s="20">
        <v>17.03</v>
      </c>
      <c r="AV96" s="35">
        <v>11</v>
      </c>
      <c r="AW96" s="36">
        <v>-0.54500000000000004</v>
      </c>
      <c r="AX96" s="1">
        <v>13</v>
      </c>
      <c r="AY96" s="36">
        <v>1.9239999999999999</v>
      </c>
      <c r="AZ96" s="20">
        <v>50.91</v>
      </c>
      <c r="BA96" s="20">
        <v>16.850000000000001</v>
      </c>
      <c r="BB96" s="36">
        <v>-2.0939999999999999</v>
      </c>
      <c r="BC96" s="36">
        <v>-7.609</v>
      </c>
      <c r="BD96" s="20">
        <v>47.12</v>
      </c>
      <c r="BE96" s="33">
        <f t="shared" si="57"/>
        <v>9.0909090909090912E-2</v>
      </c>
      <c r="BF96" s="37">
        <f t="shared" si="58"/>
        <v>0.90588235294117647</v>
      </c>
      <c r="BG96" s="35">
        <f t="shared" si="59"/>
        <v>996.79144385026734</v>
      </c>
      <c r="BH96" s="33">
        <f t="shared" si="60"/>
        <v>-3.2085561497326165E-3</v>
      </c>
      <c r="BI96" s="38">
        <f t="shared" si="61"/>
        <v>1.711474006988519</v>
      </c>
      <c r="BJ96" s="38">
        <f t="shared" si="62"/>
        <v>3.4229480139770381</v>
      </c>
      <c r="BK96" s="32">
        <f t="shared" si="63"/>
        <v>18.826214076873711</v>
      </c>
      <c r="BL96" s="32">
        <f t="shared" si="64"/>
        <v>36.368822648506026</v>
      </c>
      <c r="BM96" s="32">
        <f t="shared" si="65"/>
        <v>32.518006132781856</v>
      </c>
      <c r="BN96" s="32">
        <f t="shared" si="66"/>
        <v>66.747486272552237</v>
      </c>
      <c r="BO96" s="32">
        <f t="shared" si="67"/>
        <v>-34.229480139770381</v>
      </c>
      <c r="BP96" s="20">
        <v>4</v>
      </c>
      <c r="BQ96" s="20">
        <v>8</v>
      </c>
      <c r="BR96" s="35">
        <v>40</v>
      </c>
      <c r="BS96" s="35">
        <v>77</v>
      </c>
      <c r="BT96" s="20">
        <v>12</v>
      </c>
      <c r="BU96" s="20">
        <v>30</v>
      </c>
      <c r="BV96" s="20">
        <v>20</v>
      </c>
      <c r="BW96" s="20">
        <v>41</v>
      </c>
      <c r="BX96" s="20">
        <v>41</v>
      </c>
      <c r="BY96" s="20">
        <v>70</v>
      </c>
      <c r="BZ96" s="33">
        <f t="shared" si="68"/>
        <v>0.36936936936936937</v>
      </c>
      <c r="CA96" s="23">
        <v>-7.63</v>
      </c>
      <c r="CB96" s="39">
        <f t="shared" si="69"/>
        <v>-18.998244845652735</v>
      </c>
      <c r="CC96" s="38">
        <f t="shared" si="70"/>
        <v>1.9705904306934388</v>
      </c>
      <c r="CD96" s="38">
        <f t="shared" si="71"/>
        <v>2.5080241845189217</v>
      </c>
      <c r="CE96" s="32">
        <f t="shared" si="72"/>
        <v>25.080241845189221</v>
      </c>
      <c r="CF96" s="32">
        <f t="shared" si="73"/>
        <v>32.514742106441744</v>
      </c>
      <c r="CG96" s="32">
        <f t="shared" si="74"/>
        <v>48.906471598118976</v>
      </c>
      <c r="CH96" s="32">
        <f t="shared" si="75"/>
        <v>58.311562290064934</v>
      </c>
      <c r="CI96" s="32">
        <f t="shared" si="76"/>
        <v>-24.824389447824423</v>
      </c>
      <c r="CJ96">
        <v>669.85</v>
      </c>
      <c r="CK96">
        <v>22</v>
      </c>
      <c r="CL96">
        <v>28</v>
      </c>
      <c r="CM96" s="35">
        <v>258</v>
      </c>
      <c r="CN96">
        <v>335</v>
      </c>
      <c r="CO96">
        <v>104</v>
      </c>
      <c r="CP96">
        <v>135</v>
      </c>
      <c r="CQ96">
        <v>162</v>
      </c>
      <c r="CR96">
        <v>153</v>
      </c>
      <c r="CS96" s="20">
        <v>2</v>
      </c>
      <c r="CT96" s="20">
        <v>0</v>
      </c>
      <c r="CU96" s="35">
        <f t="shared" si="77"/>
        <v>-2</v>
      </c>
      <c r="CV96" s="38">
        <f t="shared" si="78"/>
        <v>0.86956521739130432</v>
      </c>
      <c r="CW96" s="38">
        <f t="shared" si="79"/>
        <v>0</v>
      </c>
      <c r="CX96" s="38">
        <f t="shared" si="80"/>
        <v>-0.86956521739130432</v>
      </c>
      <c r="CY96" s="40">
        <v>3.44</v>
      </c>
      <c r="CZ96" s="40">
        <v>6.24</v>
      </c>
      <c r="DA96" s="40">
        <v>3.42</v>
      </c>
      <c r="DB96" s="40">
        <v>3.96</v>
      </c>
      <c r="DC96" s="40">
        <v>5.82</v>
      </c>
      <c r="DD96" s="40">
        <v>5.7</v>
      </c>
      <c r="DE96">
        <v>3</v>
      </c>
      <c r="DF96">
        <v>4</v>
      </c>
      <c r="DG96" s="33">
        <f t="shared" si="81"/>
        <v>0.42857142857142855</v>
      </c>
      <c r="DH96">
        <v>1</v>
      </c>
      <c r="DI96">
        <v>0</v>
      </c>
      <c r="DJ96">
        <v>2</v>
      </c>
      <c r="DK96">
        <v>3</v>
      </c>
      <c r="DL96">
        <v>2</v>
      </c>
      <c r="DM96" s="2" t="s">
        <v>514</v>
      </c>
      <c r="DN96" t="s">
        <v>515</v>
      </c>
    </row>
    <row r="97" spans="1:118" x14ac:dyDescent="0.25">
      <c r="A97" t="s">
        <v>516</v>
      </c>
      <c r="B97" t="s">
        <v>517</v>
      </c>
      <c r="C97" s="1" t="s">
        <v>210</v>
      </c>
      <c r="D97" s="2" t="s">
        <v>163</v>
      </c>
      <c r="E97">
        <v>12</v>
      </c>
      <c r="F97">
        <f>(4/12)</f>
        <v>0.33333333333333331</v>
      </c>
      <c r="G97" t="s">
        <v>544</v>
      </c>
      <c r="H97">
        <f>(17/52)</f>
        <v>0.32692307692307693</v>
      </c>
      <c r="I97">
        <v>1</v>
      </c>
      <c r="J97">
        <v>3</v>
      </c>
      <c r="K97" s="29">
        <f t="shared" si="41"/>
        <v>4</v>
      </c>
      <c r="L97" s="30">
        <f t="shared" si="42"/>
        <v>1.884570082449941</v>
      </c>
      <c r="M97" s="20">
        <v>1</v>
      </c>
      <c r="N97" s="20">
        <v>0</v>
      </c>
      <c r="O97" s="20">
        <v>3</v>
      </c>
      <c r="P97" s="20">
        <v>10</v>
      </c>
      <c r="Q97" s="20">
        <v>5</v>
      </c>
      <c r="R97" s="20">
        <v>6</v>
      </c>
      <c r="S97" s="20">
        <v>14</v>
      </c>
      <c r="T97" s="31">
        <f t="shared" si="43"/>
        <v>0.1</v>
      </c>
      <c r="U97" s="31">
        <f t="shared" si="44"/>
        <v>4.7619047619047616E-2</v>
      </c>
      <c r="V97">
        <v>7641</v>
      </c>
      <c r="W97" s="32">
        <f t="shared" si="45"/>
        <v>10.612500000000001</v>
      </c>
      <c r="X97" s="23">
        <v>125.58</v>
      </c>
      <c r="Y97" s="32">
        <f t="shared" si="46"/>
        <v>10.465</v>
      </c>
      <c r="Z97" s="23">
        <v>454.36</v>
      </c>
      <c r="AA97" s="32">
        <f t="shared" si="47"/>
        <v>37.863333333333337</v>
      </c>
      <c r="AB97" s="33">
        <f t="shared" si="48"/>
        <v>0.21653964203193435</v>
      </c>
      <c r="AC97" s="34">
        <f t="shared" si="49"/>
        <v>0</v>
      </c>
      <c r="AD97" s="20">
        <v>4</v>
      </c>
      <c r="AE97" s="20">
        <v>40</v>
      </c>
      <c r="AF97" s="20">
        <v>12</v>
      </c>
      <c r="AG97" s="20">
        <v>1</v>
      </c>
      <c r="AH97" s="20">
        <v>4</v>
      </c>
      <c r="AI97" s="31">
        <f t="shared" si="50"/>
        <v>0.2</v>
      </c>
      <c r="AJ97" s="31">
        <f t="shared" si="51"/>
        <v>0.6</v>
      </c>
      <c r="AK97" s="31">
        <f t="shared" si="52"/>
        <v>0.8</v>
      </c>
      <c r="AL97" s="20">
        <v>30</v>
      </c>
      <c r="AM97" s="33">
        <f t="shared" si="53"/>
        <v>0.25641025641025639</v>
      </c>
      <c r="AN97" s="20">
        <v>50</v>
      </c>
      <c r="AO97" s="33">
        <f t="shared" si="54"/>
        <v>0.42735042735042733</v>
      </c>
      <c r="AP97" s="20">
        <v>37</v>
      </c>
      <c r="AQ97" s="33">
        <f t="shared" si="55"/>
        <v>0.31623931623931623</v>
      </c>
      <c r="AR97" s="33">
        <f t="shared" si="56"/>
        <v>0.375</v>
      </c>
      <c r="AS97" s="1">
        <v>1</v>
      </c>
      <c r="AT97" s="23">
        <v>-6.79</v>
      </c>
      <c r="AU97" s="20">
        <v>16.64</v>
      </c>
      <c r="AV97" s="35">
        <v>13</v>
      </c>
      <c r="AW97" s="36">
        <v>-0.14899999999999999</v>
      </c>
      <c r="AX97" s="1">
        <v>10</v>
      </c>
      <c r="AY97" s="36">
        <v>-0.63</v>
      </c>
      <c r="AZ97" s="20">
        <v>49.38</v>
      </c>
      <c r="BA97" s="20">
        <v>16.96</v>
      </c>
      <c r="BB97" s="36">
        <v>-2.0339999999999998</v>
      </c>
      <c r="BC97" s="36">
        <v>-6.7690000000000001</v>
      </c>
      <c r="BD97" s="20">
        <v>47.59</v>
      </c>
      <c r="BE97" s="33">
        <f t="shared" si="57"/>
        <v>9.8039215686274508E-2</v>
      </c>
      <c r="BF97" s="37">
        <f t="shared" si="58"/>
        <v>0.93939393939393945</v>
      </c>
      <c r="BG97" s="35">
        <f t="shared" si="59"/>
        <v>1037.433155080214</v>
      </c>
      <c r="BH97" s="33">
        <f t="shared" si="60"/>
        <v>3.7433155080213956E-2</v>
      </c>
      <c r="BI97" s="38">
        <f t="shared" si="61"/>
        <v>2.3889154323936932</v>
      </c>
      <c r="BJ97" s="38">
        <f t="shared" si="62"/>
        <v>1.9111323459149547</v>
      </c>
      <c r="BK97" s="32">
        <f t="shared" si="63"/>
        <v>24.366937410415673</v>
      </c>
      <c r="BL97" s="32">
        <f t="shared" si="64"/>
        <v>31.533683707596751</v>
      </c>
      <c r="BM97" s="32">
        <f t="shared" si="65"/>
        <v>44.433827042522694</v>
      </c>
      <c r="BN97" s="32">
        <f t="shared" si="66"/>
        <v>59.245102723363594</v>
      </c>
      <c r="BO97" s="32">
        <f t="shared" si="67"/>
        <v>-14.8112756808409</v>
      </c>
      <c r="BP97" s="20">
        <v>5</v>
      </c>
      <c r="BQ97" s="20">
        <v>4</v>
      </c>
      <c r="BR97" s="35">
        <v>46</v>
      </c>
      <c r="BS97" s="35">
        <v>62</v>
      </c>
      <c r="BT97" s="20">
        <v>18</v>
      </c>
      <c r="BU97" s="20">
        <v>29</v>
      </c>
      <c r="BV97" s="20">
        <v>24</v>
      </c>
      <c r="BW97" s="20">
        <v>29</v>
      </c>
      <c r="BX97" s="20">
        <v>51</v>
      </c>
      <c r="BY97" s="20">
        <v>57</v>
      </c>
      <c r="BZ97" s="33">
        <f t="shared" si="68"/>
        <v>0.47222222222222221</v>
      </c>
      <c r="CA97" s="23">
        <v>-1.83</v>
      </c>
      <c r="CB97" s="39">
        <f t="shared" si="69"/>
        <v>-5.7622756808408973</v>
      </c>
      <c r="CC97" s="38">
        <f t="shared" si="70"/>
        <v>2.6952315134761577</v>
      </c>
      <c r="CD97" s="38">
        <f t="shared" si="71"/>
        <v>2.1769177608845891</v>
      </c>
      <c r="CE97" s="32">
        <f t="shared" si="72"/>
        <v>27.055977885279894</v>
      </c>
      <c r="CF97" s="32">
        <f t="shared" si="73"/>
        <v>30.684174153420877</v>
      </c>
      <c r="CG97" s="32">
        <f t="shared" si="74"/>
        <v>52.97166551485833</v>
      </c>
      <c r="CH97" s="32">
        <f t="shared" si="75"/>
        <v>62.715964063579818</v>
      </c>
      <c r="CI97" s="32">
        <f t="shared" si="76"/>
        <v>-5.0669771321194119</v>
      </c>
      <c r="CJ97">
        <v>578.79999999999995</v>
      </c>
      <c r="CK97">
        <v>26</v>
      </c>
      <c r="CL97">
        <v>21</v>
      </c>
      <c r="CM97" s="35">
        <v>235</v>
      </c>
      <c r="CN97">
        <v>275</v>
      </c>
      <c r="CO97">
        <v>109</v>
      </c>
      <c r="CP97">
        <v>128</v>
      </c>
      <c r="CQ97">
        <v>141</v>
      </c>
      <c r="CR97">
        <v>181</v>
      </c>
      <c r="CS97" s="20">
        <v>1</v>
      </c>
      <c r="CT97" s="20">
        <v>0</v>
      </c>
      <c r="CU97" s="35">
        <f t="shared" si="77"/>
        <v>-1</v>
      </c>
      <c r="CV97" s="38">
        <f t="shared" si="78"/>
        <v>0.47114252061248524</v>
      </c>
      <c r="CW97" s="38">
        <f t="shared" si="79"/>
        <v>0</v>
      </c>
      <c r="CX97" s="38">
        <f t="shared" si="80"/>
        <v>-0.47114252061248524</v>
      </c>
      <c r="CY97" s="40">
        <v>4.08</v>
      </c>
      <c r="CZ97" s="40">
        <v>5.04</v>
      </c>
      <c r="DA97" s="40">
        <v>4.53</v>
      </c>
      <c r="DB97" s="40">
        <v>3.92</v>
      </c>
      <c r="DC97" s="40">
        <v>4.5999999999999996</v>
      </c>
      <c r="DD97" s="40">
        <v>5.88</v>
      </c>
      <c r="DE97">
        <v>0</v>
      </c>
      <c r="DF97">
        <v>0</v>
      </c>
      <c r="DG97" s="33" t="str">
        <f t="shared" si="81"/>
        <v xml:space="preserve"> </v>
      </c>
      <c r="DH97">
        <v>0</v>
      </c>
      <c r="DI97">
        <v>0</v>
      </c>
      <c r="DJ97">
        <v>0</v>
      </c>
      <c r="DK97">
        <v>0</v>
      </c>
      <c r="DL97">
        <v>0</v>
      </c>
      <c r="DM97" s="1" t="s">
        <v>518</v>
      </c>
      <c r="DN97" t="s">
        <v>519</v>
      </c>
    </row>
    <row r="98" spans="1:118" x14ac:dyDescent="0.25">
      <c r="A98" t="s">
        <v>520</v>
      </c>
      <c r="B98" t="s">
        <v>521</v>
      </c>
      <c r="C98" s="1" t="s">
        <v>124</v>
      </c>
      <c r="D98" s="2" t="s">
        <v>142</v>
      </c>
      <c r="E98">
        <v>7</v>
      </c>
      <c r="F98">
        <f>(4/7)</f>
        <v>0.5714285714285714</v>
      </c>
      <c r="G98" t="s">
        <v>538</v>
      </c>
      <c r="H98">
        <f>(33/40)</f>
        <v>0.82499999999999996</v>
      </c>
      <c r="I98">
        <v>0</v>
      </c>
      <c r="J98">
        <v>2</v>
      </c>
      <c r="K98" s="29">
        <f t="shared" si="41"/>
        <v>2</v>
      </c>
      <c r="L98" s="30">
        <f t="shared" si="42"/>
        <v>1.3235294117647058</v>
      </c>
      <c r="M98" s="20"/>
      <c r="N98" s="20"/>
      <c r="O98" s="20"/>
      <c r="P98" s="20"/>
      <c r="Q98" s="20"/>
      <c r="R98" s="20"/>
      <c r="S98" s="20"/>
      <c r="T98" s="31">
        <f t="shared" si="43"/>
        <v>0</v>
      </c>
      <c r="U98" s="31">
        <f t="shared" si="44"/>
        <v>0</v>
      </c>
      <c r="V98">
        <v>5440</v>
      </c>
      <c r="W98" s="32">
        <f t="shared" si="45"/>
        <v>12.952380952380953</v>
      </c>
      <c r="X98" s="23"/>
      <c r="Y98" s="32">
        <f t="shared" si="46"/>
        <v>0</v>
      </c>
      <c r="Z98" s="23"/>
      <c r="AA98" s="32">
        <f t="shared" si="47"/>
        <v>0</v>
      </c>
      <c r="AB98" s="33">
        <f t="shared" si="48"/>
        <v>0</v>
      </c>
      <c r="AC98" s="34">
        <f t="shared" si="49"/>
        <v>0</v>
      </c>
      <c r="AD98" s="20"/>
      <c r="AE98" s="20"/>
      <c r="AF98" s="20"/>
      <c r="AG98" s="20"/>
      <c r="AH98" s="20"/>
      <c r="AI98" s="31">
        <f t="shared" si="50"/>
        <v>0</v>
      </c>
      <c r="AJ98" s="31">
        <f t="shared" si="51"/>
        <v>0</v>
      </c>
      <c r="AK98" s="31">
        <f t="shared" si="52"/>
        <v>0</v>
      </c>
      <c r="AL98" s="20"/>
      <c r="AM98" s="33">
        <f t="shared" si="53"/>
        <v>0</v>
      </c>
      <c r="AN98" s="20"/>
      <c r="AO98" s="33">
        <f t="shared" si="54"/>
        <v>0</v>
      </c>
      <c r="AP98" s="20"/>
      <c r="AQ98" s="33">
        <f t="shared" si="55"/>
        <v>0</v>
      </c>
      <c r="AR98" s="33">
        <f t="shared" si="56"/>
        <v>0</v>
      </c>
      <c r="AS98" s="1">
        <v>1</v>
      </c>
      <c r="AT98" s="23"/>
      <c r="AU98" s="20"/>
      <c r="AV98" s="35">
        <v>8</v>
      </c>
      <c r="AW98" s="36">
        <v>0.76100000000000001</v>
      </c>
      <c r="AX98" s="1">
        <v>3</v>
      </c>
      <c r="AY98" s="36">
        <v>0.30599999999999999</v>
      </c>
      <c r="AZ98" s="20"/>
      <c r="BA98" s="20"/>
      <c r="BB98" s="36">
        <v>2.7610000000000001</v>
      </c>
      <c r="BC98" s="36">
        <v>-2.6429999999999998</v>
      </c>
      <c r="BD98" s="20"/>
      <c r="BE98" s="33">
        <f t="shared" si="57"/>
        <v>0</v>
      </c>
      <c r="BF98" s="37">
        <f t="shared" si="58"/>
        <v>0</v>
      </c>
      <c r="BG98" s="35">
        <f t="shared" si="59"/>
        <v>0</v>
      </c>
      <c r="BH98" s="33">
        <f t="shared" si="60"/>
        <v>-1</v>
      </c>
      <c r="BI98" s="38">
        <f t="shared" si="61"/>
        <v>0</v>
      </c>
      <c r="BJ98" s="38">
        <f t="shared" si="62"/>
        <v>0</v>
      </c>
      <c r="BK98" s="32">
        <f t="shared" si="63"/>
        <v>0</v>
      </c>
      <c r="BL98" s="32">
        <f t="shared" si="64"/>
        <v>0</v>
      </c>
      <c r="BM98" s="32">
        <f t="shared" si="65"/>
        <v>0</v>
      </c>
      <c r="BN98" s="32">
        <f t="shared" si="66"/>
        <v>0</v>
      </c>
      <c r="BO98" s="32">
        <f t="shared" si="67"/>
        <v>0</v>
      </c>
      <c r="BP98" s="20"/>
      <c r="BQ98" s="20"/>
      <c r="BR98" s="35">
        <v>0</v>
      </c>
      <c r="BS98" s="35">
        <v>0</v>
      </c>
      <c r="BT98" s="20">
        <v>0</v>
      </c>
      <c r="BU98" s="20">
        <v>0</v>
      </c>
      <c r="BV98" s="20">
        <v>0</v>
      </c>
      <c r="BW98" s="20">
        <v>0</v>
      </c>
      <c r="BX98" s="20"/>
      <c r="BY98" s="20"/>
      <c r="BZ98" s="33">
        <f t="shared" si="68"/>
        <v>0</v>
      </c>
      <c r="CA98" s="23"/>
      <c r="CB98" s="39">
        <f t="shared" si="69"/>
        <v>14.859</v>
      </c>
      <c r="CC98" s="38">
        <f t="shared" si="70"/>
        <v>0</v>
      </c>
      <c r="CD98" s="38">
        <f t="shared" si="71"/>
        <v>0</v>
      </c>
      <c r="CE98" s="32">
        <f t="shared" si="72"/>
        <v>0</v>
      </c>
      <c r="CF98" s="32">
        <f t="shared" si="73"/>
        <v>0</v>
      </c>
      <c r="CG98" s="32">
        <f t="shared" si="74"/>
        <v>0</v>
      </c>
      <c r="CH98" s="32">
        <f t="shared" si="75"/>
        <v>0</v>
      </c>
      <c r="CI98" s="32">
        <f t="shared" si="76"/>
        <v>0</v>
      </c>
      <c r="CJ98">
        <v>335.566667</v>
      </c>
      <c r="CK98">
        <v>14</v>
      </c>
      <c r="CL98">
        <v>11</v>
      </c>
      <c r="CM98" s="35">
        <v>119</v>
      </c>
      <c r="CN98">
        <v>138</v>
      </c>
      <c r="CO98">
        <v>55</v>
      </c>
      <c r="CP98">
        <v>70</v>
      </c>
      <c r="CQ98">
        <v>65</v>
      </c>
      <c r="CR98">
        <v>78</v>
      </c>
      <c r="CS98" s="20"/>
      <c r="CT98" s="20"/>
      <c r="CU98" s="35">
        <f t="shared" si="77"/>
        <v>0</v>
      </c>
      <c r="CV98" s="38">
        <f t="shared" si="78"/>
        <v>0</v>
      </c>
      <c r="CW98" s="38">
        <f t="shared" si="79"/>
        <v>0</v>
      </c>
      <c r="CX98" s="38">
        <f t="shared" si="80"/>
        <v>0</v>
      </c>
      <c r="CY98" s="40">
        <v>2.81</v>
      </c>
      <c r="CZ98" s="40">
        <v>2.69</v>
      </c>
      <c r="DA98" s="40">
        <v>14.96</v>
      </c>
      <c r="DB98" s="40">
        <v>1.77</v>
      </c>
      <c r="DC98" s="40">
        <v>4.32</v>
      </c>
      <c r="DD98" s="40">
        <v>3.73</v>
      </c>
      <c r="DE98">
        <v>0</v>
      </c>
      <c r="DF98">
        <v>0</v>
      </c>
      <c r="DG98" s="33" t="str">
        <f t="shared" si="81"/>
        <v xml:space="preserve"> </v>
      </c>
      <c r="DH98">
        <v>0</v>
      </c>
      <c r="DI98">
        <v>0</v>
      </c>
      <c r="DJ98">
        <v>0</v>
      </c>
      <c r="DK98">
        <v>0</v>
      </c>
      <c r="DL98">
        <v>0</v>
      </c>
      <c r="DM98" s="1" t="s">
        <v>522</v>
      </c>
    </row>
    <row r="99" spans="1:118" x14ac:dyDescent="0.25">
      <c r="A99" t="s">
        <v>523</v>
      </c>
      <c r="B99" t="s">
        <v>524</v>
      </c>
      <c r="C99" s="1" t="s">
        <v>172</v>
      </c>
      <c r="D99" s="2" t="s">
        <v>239</v>
      </c>
      <c r="E99">
        <v>8</v>
      </c>
      <c r="F99">
        <f>(3/8)</f>
        <v>0.375</v>
      </c>
      <c r="G99" t="s">
        <v>544</v>
      </c>
      <c r="H99">
        <f>(31/74)</f>
        <v>0.41891891891891891</v>
      </c>
      <c r="I99">
        <v>1</v>
      </c>
      <c r="J99">
        <v>0</v>
      </c>
      <c r="K99" s="29">
        <f t="shared" si="41"/>
        <v>1</v>
      </c>
      <c r="L99" s="30">
        <f t="shared" si="42"/>
        <v>0.57388809182209466</v>
      </c>
      <c r="M99" s="20">
        <v>1</v>
      </c>
      <c r="N99" s="20">
        <v>0</v>
      </c>
      <c r="O99" s="20">
        <v>0</v>
      </c>
      <c r="P99" s="20">
        <v>10</v>
      </c>
      <c r="Q99" s="20">
        <v>7</v>
      </c>
      <c r="R99" s="20">
        <v>3</v>
      </c>
      <c r="S99" s="20">
        <v>15</v>
      </c>
      <c r="T99" s="31">
        <f t="shared" si="43"/>
        <v>0.1</v>
      </c>
      <c r="U99" s="31">
        <f t="shared" si="44"/>
        <v>0.05</v>
      </c>
      <c r="V99">
        <v>6273</v>
      </c>
      <c r="W99" s="32">
        <f t="shared" si="45"/>
        <v>13.06875</v>
      </c>
      <c r="X99" s="23">
        <v>104.35</v>
      </c>
      <c r="Y99" s="32">
        <f t="shared" si="46"/>
        <v>13.043749999999999</v>
      </c>
      <c r="Z99" s="23">
        <v>270.97000000000003</v>
      </c>
      <c r="AA99" s="32">
        <f t="shared" si="47"/>
        <v>33.871250000000003</v>
      </c>
      <c r="AB99" s="33">
        <f t="shared" si="48"/>
        <v>0.2780294148992859</v>
      </c>
      <c r="AC99" s="34">
        <f t="shared" si="49"/>
        <v>0</v>
      </c>
      <c r="AD99" s="20">
        <v>3</v>
      </c>
      <c r="AE99" s="20">
        <v>8</v>
      </c>
      <c r="AF99" s="20">
        <v>17</v>
      </c>
      <c r="AG99" s="20">
        <v>2</v>
      </c>
      <c r="AH99" s="20">
        <v>1</v>
      </c>
      <c r="AI99" s="31">
        <f t="shared" si="50"/>
        <v>1</v>
      </c>
      <c r="AJ99" s="31">
        <f t="shared" si="51"/>
        <v>0</v>
      </c>
      <c r="AK99" s="31">
        <f t="shared" si="52"/>
        <v>1</v>
      </c>
      <c r="AL99" s="20">
        <v>24</v>
      </c>
      <c r="AM99" s="33">
        <f t="shared" si="53"/>
        <v>0.23762376237623761</v>
      </c>
      <c r="AN99" s="20">
        <v>40</v>
      </c>
      <c r="AO99" s="33">
        <f t="shared" si="54"/>
        <v>0.39603960396039606</v>
      </c>
      <c r="AP99" s="20">
        <v>37</v>
      </c>
      <c r="AQ99" s="33">
        <f t="shared" si="55"/>
        <v>0.36633663366336633</v>
      </c>
      <c r="AR99" s="33">
        <f t="shared" si="56"/>
        <v>0.375</v>
      </c>
      <c r="AS99" s="1">
        <v>2</v>
      </c>
      <c r="AT99" s="23">
        <v>-13.25</v>
      </c>
      <c r="AU99" s="20">
        <v>17.23</v>
      </c>
      <c r="AV99" s="35">
        <v>8</v>
      </c>
      <c r="AW99" s="36">
        <v>0.158</v>
      </c>
      <c r="AX99" s="1">
        <v>7</v>
      </c>
      <c r="AY99" s="36">
        <v>2.968</v>
      </c>
      <c r="AZ99" s="20">
        <v>50.95</v>
      </c>
      <c r="BA99" s="20">
        <v>17.61</v>
      </c>
      <c r="BB99" s="36">
        <v>2.3260000000000001</v>
      </c>
      <c r="BC99" s="36">
        <v>-2.0430000000000001</v>
      </c>
      <c r="BD99" s="20">
        <v>49.24</v>
      </c>
      <c r="BE99" s="33">
        <f t="shared" si="57"/>
        <v>2.2222222222222223E-2</v>
      </c>
      <c r="BF99" s="37">
        <f t="shared" si="58"/>
        <v>0.87179487179487181</v>
      </c>
      <c r="BG99" s="35">
        <f t="shared" si="59"/>
        <v>894.017094017094</v>
      </c>
      <c r="BH99" s="33">
        <f t="shared" si="60"/>
        <v>-0.10598290598290597</v>
      </c>
      <c r="BI99" s="38">
        <f t="shared" si="61"/>
        <v>0.57498802108289415</v>
      </c>
      <c r="BJ99" s="38">
        <f t="shared" si="62"/>
        <v>2.8749401054144705</v>
      </c>
      <c r="BK99" s="32">
        <f t="shared" si="63"/>
        <v>25.874460948730238</v>
      </c>
      <c r="BL99" s="32">
        <f t="shared" si="64"/>
        <v>22.424532822232869</v>
      </c>
      <c r="BM99" s="32">
        <f t="shared" si="65"/>
        <v>48.873981792046003</v>
      </c>
      <c r="BN99" s="32">
        <f t="shared" si="66"/>
        <v>50.598945855294687</v>
      </c>
      <c r="BO99" s="32">
        <f t="shared" si="67"/>
        <v>-1.7249640632486845</v>
      </c>
      <c r="BP99" s="20">
        <v>1</v>
      </c>
      <c r="BQ99" s="20">
        <v>5</v>
      </c>
      <c r="BR99" s="35">
        <v>44</v>
      </c>
      <c r="BS99" s="35">
        <v>34</v>
      </c>
      <c r="BT99" s="20">
        <v>23</v>
      </c>
      <c r="BU99" s="20">
        <v>31</v>
      </c>
      <c r="BV99" s="20">
        <v>17</v>
      </c>
      <c r="BW99" s="20">
        <v>18</v>
      </c>
      <c r="BX99" s="20">
        <v>45</v>
      </c>
      <c r="BY99" s="20">
        <v>47</v>
      </c>
      <c r="BZ99" s="33">
        <f t="shared" si="68"/>
        <v>0.4891304347826087</v>
      </c>
      <c r="CA99" s="23">
        <v>1.78</v>
      </c>
      <c r="CB99" s="39">
        <f t="shared" si="69"/>
        <v>6.1960359367513149</v>
      </c>
      <c r="CC99" s="38">
        <f t="shared" si="70"/>
        <v>2.6546225483036432</v>
      </c>
      <c r="CD99" s="38">
        <f t="shared" si="71"/>
        <v>2.8205364575726213</v>
      </c>
      <c r="CE99" s="32">
        <f t="shared" si="72"/>
        <v>27.707622847919275</v>
      </c>
      <c r="CF99" s="32">
        <f t="shared" si="73"/>
        <v>26.546225483036434</v>
      </c>
      <c r="CG99" s="32">
        <f t="shared" si="74"/>
        <v>51.931053601190023</v>
      </c>
      <c r="CH99" s="32">
        <f t="shared" si="75"/>
        <v>54.585676149493665</v>
      </c>
      <c r="CI99" s="32">
        <f t="shared" si="76"/>
        <v>0.92965848505495785</v>
      </c>
      <c r="CJ99">
        <v>361.63333299999999</v>
      </c>
      <c r="CK99">
        <v>16</v>
      </c>
      <c r="CL99">
        <v>17</v>
      </c>
      <c r="CM99" s="35">
        <v>151</v>
      </c>
      <c r="CN99">
        <v>143</v>
      </c>
      <c r="CO99">
        <v>66</v>
      </c>
      <c r="CP99">
        <v>90</v>
      </c>
      <c r="CQ99">
        <v>80</v>
      </c>
      <c r="CR99">
        <v>79</v>
      </c>
      <c r="CS99" s="20">
        <v>1</v>
      </c>
      <c r="CT99" s="20">
        <v>1</v>
      </c>
      <c r="CU99" s="35">
        <f t="shared" si="77"/>
        <v>0</v>
      </c>
      <c r="CV99" s="38">
        <f t="shared" si="78"/>
        <v>0.57388809182209477</v>
      </c>
      <c r="CW99" s="38">
        <f t="shared" si="79"/>
        <v>0.57388809182209477</v>
      </c>
      <c r="CX99" s="38">
        <f t="shared" si="80"/>
        <v>0</v>
      </c>
      <c r="CY99" s="40">
        <v>3.64</v>
      </c>
      <c r="CZ99" s="40">
        <v>3.96</v>
      </c>
      <c r="DA99" s="40">
        <v>9.0500000000000007</v>
      </c>
      <c r="DB99" s="40">
        <v>4.5199999999999996</v>
      </c>
      <c r="DC99" s="40">
        <v>5.13</v>
      </c>
      <c r="DD99" s="40">
        <v>3.66</v>
      </c>
      <c r="DE99">
        <v>0</v>
      </c>
      <c r="DF99">
        <v>1</v>
      </c>
      <c r="DG99" s="33">
        <f t="shared" si="81"/>
        <v>0</v>
      </c>
      <c r="DH99">
        <v>-0.01</v>
      </c>
      <c r="DI99">
        <v>-1.24</v>
      </c>
      <c r="DJ99">
        <v>1</v>
      </c>
      <c r="DK99">
        <v>0</v>
      </c>
      <c r="DL99">
        <v>0</v>
      </c>
      <c r="DM99" s="1" t="s">
        <v>525</v>
      </c>
      <c r="DN99" t="s">
        <v>526</v>
      </c>
    </row>
    <row r="100" spans="1:118" x14ac:dyDescent="0.25">
      <c r="A100" t="s">
        <v>527</v>
      </c>
      <c r="B100" t="s">
        <v>528</v>
      </c>
      <c r="C100" s="1" t="s">
        <v>300</v>
      </c>
      <c r="D100" s="2" t="s">
        <v>3</v>
      </c>
      <c r="E100">
        <v>26</v>
      </c>
      <c r="F100">
        <f>(3/26)</f>
        <v>0.11538461538461539</v>
      </c>
      <c r="G100" t="s">
        <v>544</v>
      </c>
      <c r="H100">
        <f>(32/51)</f>
        <v>0.62745098039215685</v>
      </c>
      <c r="I100">
        <v>2</v>
      </c>
      <c r="J100">
        <v>1</v>
      </c>
      <c r="K100" s="29">
        <f t="shared" si="41"/>
        <v>3</v>
      </c>
      <c r="L100" s="30">
        <f t="shared" si="42"/>
        <v>0.63916671598508601</v>
      </c>
      <c r="M100" s="20">
        <v>2</v>
      </c>
      <c r="N100" s="20">
        <v>0</v>
      </c>
      <c r="O100" s="20">
        <v>1</v>
      </c>
      <c r="P100" s="20">
        <v>24</v>
      </c>
      <c r="Q100" s="20">
        <v>11</v>
      </c>
      <c r="R100" s="20">
        <v>13</v>
      </c>
      <c r="S100" s="20">
        <v>30</v>
      </c>
      <c r="T100" s="31">
        <f t="shared" si="43"/>
        <v>8.3333333333333329E-2</v>
      </c>
      <c r="U100" s="31">
        <f t="shared" si="44"/>
        <v>4.1666666666666664E-2</v>
      </c>
      <c r="V100">
        <v>16897</v>
      </c>
      <c r="W100" s="32">
        <f t="shared" si="45"/>
        <v>10.831410256410257</v>
      </c>
      <c r="X100" s="23">
        <v>277.43</v>
      </c>
      <c r="Y100" s="32">
        <f t="shared" si="46"/>
        <v>10.670384615384616</v>
      </c>
      <c r="Z100" s="23">
        <v>990.83</v>
      </c>
      <c r="AA100" s="32">
        <f t="shared" si="47"/>
        <v>38.108846153846159</v>
      </c>
      <c r="AB100" s="33">
        <f t="shared" si="48"/>
        <v>0.21874852159651803</v>
      </c>
      <c r="AC100" s="34">
        <f t="shared" si="49"/>
        <v>0</v>
      </c>
      <c r="AD100" s="20">
        <v>9</v>
      </c>
      <c r="AE100" s="20">
        <v>18</v>
      </c>
      <c r="AF100" s="20">
        <v>21</v>
      </c>
      <c r="AG100" s="20">
        <v>5</v>
      </c>
      <c r="AH100" s="20">
        <v>6</v>
      </c>
      <c r="AI100" s="31">
        <f t="shared" si="50"/>
        <v>0.2857142857142857</v>
      </c>
      <c r="AJ100" s="31">
        <f t="shared" si="51"/>
        <v>0.14285714285714285</v>
      </c>
      <c r="AK100" s="31">
        <f t="shared" si="52"/>
        <v>0.42857142857142855</v>
      </c>
      <c r="AL100" s="20">
        <v>83</v>
      </c>
      <c r="AM100" s="33">
        <f t="shared" si="53"/>
        <v>0.31203007518796994</v>
      </c>
      <c r="AN100" s="20">
        <v>86</v>
      </c>
      <c r="AO100" s="33">
        <f t="shared" si="54"/>
        <v>0.32330827067669171</v>
      </c>
      <c r="AP100" s="20">
        <v>97</v>
      </c>
      <c r="AQ100" s="33">
        <f t="shared" si="55"/>
        <v>0.36466165413533835</v>
      </c>
      <c r="AR100" s="33">
        <f t="shared" si="56"/>
        <v>0.4911242603550296</v>
      </c>
      <c r="AS100" s="1">
        <v>7</v>
      </c>
      <c r="AT100" s="23">
        <v>4.17</v>
      </c>
      <c r="AU100" s="20">
        <v>17.2</v>
      </c>
      <c r="AV100" s="35">
        <v>9</v>
      </c>
      <c r="AW100" s="36">
        <v>0.248</v>
      </c>
      <c r="AX100" s="1">
        <v>9</v>
      </c>
      <c r="AY100" s="36">
        <v>-0.27100000000000002</v>
      </c>
      <c r="AZ100" s="20">
        <v>49.75</v>
      </c>
      <c r="BA100" s="20">
        <v>17.62</v>
      </c>
      <c r="BB100" s="36">
        <v>-1.0900000000000001</v>
      </c>
      <c r="BC100" s="36">
        <v>-6.6379999999999999</v>
      </c>
      <c r="BD100" s="20">
        <v>48.15</v>
      </c>
      <c r="BE100" s="33">
        <f t="shared" si="57"/>
        <v>5.737704918032787E-2</v>
      </c>
      <c r="BF100" s="37">
        <f t="shared" si="58"/>
        <v>0.94505494505494503</v>
      </c>
      <c r="BG100" s="35">
        <f t="shared" si="59"/>
        <v>1002.4319942352729</v>
      </c>
      <c r="BH100" s="33">
        <f t="shared" si="60"/>
        <v>2.4319942352728982E-3</v>
      </c>
      <c r="BI100" s="38">
        <f t="shared" si="61"/>
        <v>1.5138953970370903</v>
      </c>
      <c r="BJ100" s="38">
        <f t="shared" si="62"/>
        <v>2.1627077100529859</v>
      </c>
      <c r="BK100" s="32">
        <f t="shared" si="63"/>
        <v>26.385034062646433</v>
      </c>
      <c r="BL100" s="32">
        <f t="shared" si="64"/>
        <v>39.361280322964348</v>
      </c>
      <c r="BM100" s="32">
        <f t="shared" si="65"/>
        <v>49.742277331218688</v>
      </c>
      <c r="BN100" s="32">
        <f t="shared" si="66"/>
        <v>67.260209782647877</v>
      </c>
      <c r="BO100" s="32">
        <f t="shared" si="67"/>
        <v>-17.517932451429189</v>
      </c>
      <c r="BP100" s="20">
        <v>7</v>
      </c>
      <c r="BQ100" s="20">
        <v>10</v>
      </c>
      <c r="BR100" s="35">
        <v>115</v>
      </c>
      <c r="BS100" s="35">
        <v>172</v>
      </c>
      <c r="BT100" s="20">
        <v>45</v>
      </c>
      <c r="BU100" s="20">
        <v>57</v>
      </c>
      <c r="BV100" s="20">
        <v>63</v>
      </c>
      <c r="BW100" s="20">
        <v>72</v>
      </c>
      <c r="BX100" s="20">
        <v>111</v>
      </c>
      <c r="BY100" s="20">
        <v>161</v>
      </c>
      <c r="BZ100" s="33">
        <f t="shared" si="68"/>
        <v>0.40808823529411764</v>
      </c>
      <c r="CA100" s="23">
        <v>-9.19</v>
      </c>
      <c r="CB100" s="39">
        <f t="shared" si="69"/>
        <v>-11.027914699949898</v>
      </c>
      <c r="CC100" s="38">
        <f t="shared" si="70"/>
        <v>2.4079320113314449</v>
      </c>
      <c r="CD100" s="38">
        <f t="shared" si="71"/>
        <v>1.8413597733711049</v>
      </c>
      <c r="CE100" s="32">
        <f t="shared" si="72"/>
        <v>28.281397544853636</v>
      </c>
      <c r="CF100" s="32">
        <f t="shared" si="73"/>
        <v>31.303116147308781</v>
      </c>
      <c r="CG100" s="32">
        <f t="shared" si="74"/>
        <v>52.691218130311618</v>
      </c>
      <c r="CH100" s="32">
        <f t="shared" si="75"/>
        <v>58.640226628895185</v>
      </c>
      <c r="CI100" s="32">
        <f t="shared" si="76"/>
        <v>-11.568923952845623</v>
      </c>
      <c r="CJ100">
        <v>1270.8</v>
      </c>
      <c r="CK100">
        <v>51</v>
      </c>
      <c r="CL100">
        <v>39</v>
      </c>
      <c r="CM100" s="35">
        <v>548</v>
      </c>
      <c r="CN100">
        <v>624</v>
      </c>
      <c r="CO100">
        <v>224</v>
      </c>
      <c r="CP100">
        <v>246</v>
      </c>
      <c r="CQ100">
        <v>293</v>
      </c>
      <c r="CR100">
        <v>333</v>
      </c>
      <c r="CS100" s="20">
        <v>2</v>
      </c>
      <c r="CT100" s="20">
        <v>1</v>
      </c>
      <c r="CU100" s="35">
        <f t="shared" si="77"/>
        <v>-1</v>
      </c>
      <c r="CV100" s="38">
        <f t="shared" si="78"/>
        <v>0.42611114399005739</v>
      </c>
      <c r="CW100" s="38">
        <f t="shared" si="79"/>
        <v>0.2130555719950287</v>
      </c>
      <c r="CX100" s="38">
        <f t="shared" si="80"/>
        <v>-0.2130555719950287</v>
      </c>
      <c r="CY100" s="40">
        <v>9.5399999999999991</v>
      </c>
      <c r="CZ100" s="40">
        <v>14.82</v>
      </c>
      <c r="DA100" s="40">
        <v>14.21</v>
      </c>
      <c r="DB100" s="40">
        <v>8.49</v>
      </c>
      <c r="DC100" s="40">
        <v>9.42</v>
      </c>
      <c r="DD100" s="40">
        <v>9.83</v>
      </c>
      <c r="DE100">
        <v>1</v>
      </c>
      <c r="DF100">
        <v>1</v>
      </c>
      <c r="DG100" s="33">
        <f t="shared" si="81"/>
        <v>0.5</v>
      </c>
      <c r="DH100">
        <v>0.01</v>
      </c>
      <c r="DI100">
        <v>0.24</v>
      </c>
      <c r="DJ100">
        <v>0</v>
      </c>
      <c r="DK100">
        <v>1</v>
      </c>
      <c r="DL100">
        <v>1</v>
      </c>
      <c r="DM100" s="1" t="s">
        <v>529</v>
      </c>
      <c r="DN100" t="s">
        <v>530</v>
      </c>
    </row>
    <row r="101" spans="1:118" x14ac:dyDescent="0.25">
      <c r="A101" t="s">
        <v>150</v>
      </c>
      <c r="B101" t="s">
        <v>531</v>
      </c>
      <c r="C101" s="1" t="s">
        <v>147</v>
      </c>
      <c r="D101" s="2" t="s">
        <v>163</v>
      </c>
      <c r="E101">
        <v>10</v>
      </c>
      <c r="F101">
        <f>(3/10)</f>
        <v>0.3</v>
      </c>
      <c r="G101" t="s">
        <v>544</v>
      </c>
      <c r="H101">
        <f>(33/62)</f>
        <v>0.532258064516129</v>
      </c>
      <c r="I101">
        <v>0</v>
      </c>
      <c r="J101">
        <v>1</v>
      </c>
      <c r="K101" s="29">
        <f t="shared" si="41"/>
        <v>1</v>
      </c>
      <c r="L101" s="30">
        <f t="shared" si="42"/>
        <v>0.61538461538461542</v>
      </c>
      <c r="M101" s="20">
        <v>0</v>
      </c>
      <c r="N101" s="20">
        <v>0</v>
      </c>
      <c r="O101" s="20">
        <v>1</v>
      </c>
      <c r="P101" s="20">
        <v>16</v>
      </c>
      <c r="Q101" s="20">
        <v>5</v>
      </c>
      <c r="R101" s="20">
        <v>3</v>
      </c>
      <c r="S101" s="20">
        <v>13</v>
      </c>
      <c r="T101" s="31">
        <f t="shared" si="43"/>
        <v>0</v>
      </c>
      <c r="U101" s="31">
        <f t="shared" si="44"/>
        <v>0</v>
      </c>
      <c r="V101">
        <v>5850</v>
      </c>
      <c r="W101" s="32">
        <f t="shared" si="45"/>
        <v>9.75</v>
      </c>
      <c r="X101" s="23">
        <v>99.32</v>
      </c>
      <c r="Y101" s="32">
        <f t="shared" si="46"/>
        <v>9.9319999999999986</v>
      </c>
      <c r="Z101" s="23">
        <v>370.79</v>
      </c>
      <c r="AA101" s="32">
        <f t="shared" si="47"/>
        <v>37.079000000000001</v>
      </c>
      <c r="AB101" s="33">
        <f t="shared" si="48"/>
        <v>0.21126970283550658</v>
      </c>
      <c r="AC101" s="34">
        <f t="shared" si="49"/>
        <v>0</v>
      </c>
      <c r="AD101" s="20">
        <v>3</v>
      </c>
      <c r="AE101" s="20">
        <v>4</v>
      </c>
      <c r="AF101" s="20">
        <v>6</v>
      </c>
      <c r="AG101" s="20">
        <v>2</v>
      </c>
      <c r="AH101" s="20">
        <v>4</v>
      </c>
      <c r="AI101" s="31">
        <f t="shared" si="50"/>
        <v>0</v>
      </c>
      <c r="AJ101" s="31">
        <f t="shared" si="51"/>
        <v>0.25</v>
      </c>
      <c r="AK101" s="31">
        <f t="shared" si="52"/>
        <v>0.25</v>
      </c>
      <c r="AL101" s="20">
        <v>38</v>
      </c>
      <c r="AM101" s="33">
        <f t="shared" si="53"/>
        <v>0.39175257731958762</v>
      </c>
      <c r="AN101" s="20">
        <v>19</v>
      </c>
      <c r="AO101" s="33">
        <f t="shared" si="54"/>
        <v>0.19587628865979381</v>
      </c>
      <c r="AP101" s="20">
        <v>40</v>
      </c>
      <c r="AQ101" s="33">
        <f t="shared" si="55"/>
        <v>0.41237113402061853</v>
      </c>
      <c r="AR101" s="33">
        <f t="shared" si="56"/>
        <v>0.66666666666666663</v>
      </c>
      <c r="AS101" s="1">
        <v>15</v>
      </c>
      <c r="AT101" s="23">
        <v>17.7</v>
      </c>
      <c r="AU101" s="20">
        <v>17.739999999999998</v>
      </c>
      <c r="AV101" s="35">
        <v>4</v>
      </c>
      <c r="AW101" s="36">
        <v>0.53500000000000003</v>
      </c>
      <c r="AX101" s="1">
        <v>6</v>
      </c>
      <c r="AY101" s="36">
        <v>0.96399999999999997</v>
      </c>
      <c r="AZ101" s="20">
        <v>50.2</v>
      </c>
      <c r="BA101" s="20">
        <v>18.25</v>
      </c>
      <c r="BB101" s="36">
        <v>1.649</v>
      </c>
      <c r="BC101" s="36">
        <v>5.1749999999999998</v>
      </c>
      <c r="BD101" s="20">
        <v>54.08</v>
      </c>
      <c r="BE101" s="33">
        <f t="shared" si="57"/>
        <v>6.1538461538461542E-2</v>
      </c>
      <c r="BF101" s="37">
        <f t="shared" si="58"/>
        <v>0.80392156862745101</v>
      </c>
      <c r="BG101" s="35">
        <f t="shared" si="59"/>
        <v>865.4600301659126</v>
      </c>
      <c r="BH101" s="33">
        <f t="shared" si="60"/>
        <v>-0.13453996983408745</v>
      </c>
      <c r="BI101" s="38">
        <f t="shared" si="61"/>
        <v>2.4164317358034637</v>
      </c>
      <c r="BJ101" s="38">
        <f t="shared" si="62"/>
        <v>6.0410793395086593</v>
      </c>
      <c r="BK101" s="32">
        <f t="shared" si="63"/>
        <v>39.267015706806291</v>
      </c>
      <c r="BL101" s="32">
        <f t="shared" si="64"/>
        <v>30.809504631494164</v>
      </c>
      <c r="BM101" s="32">
        <f t="shared" si="65"/>
        <v>64.035440998791799</v>
      </c>
      <c r="BN101" s="32">
        <f t="shared" si="66"/>
        <v>53.765606121627073</v>
      </c>
      <c r="BO101" s="32">
        <f t="shared" si="67"/>
        <v>10.269834877164726</v>
      </c>
      <c r="BP101" s="20">
        <v>4</v>
      </c>
      <c r="BQ101" s="20">
        <v>10</v>
      </c>
      <c r="BR101" s="35">
        <v>61</v>
      </c>
      <c r="BS101" s="35">
        <v>41</v>
      </c>
      <c r="BT101" s="20">
        <v>19</v>
      </c>
      <c r="BU101" s="20">
        <v>22</v>
      </c>
      <c r="BV101" s="20">
        <v>22</v>
      </c>
      <c r="BW101" s="20">
        <v>16</v>
      </c>
      <c r="BX101" s="20">
        <v>52</v>
      </c>
      <c r="BY101" s="20">
        <v>46</v>
      </c>
      <c r="BZ101" s="33">
        <f t="shared" si="68"/>
        <v>0.53061224489795922</v>
      </c>
      <c r="CA101" s="23">
        <v>5.47</v>
      </c>
      <c r="CB101" s="39">
        <f t="shared" si="69"/>
        <v>1.9688348771647259</v>
      </c>
      <c r="CC101" s="38">
        <f t="shared" si="70"/>
        <v>2.2932370739993631</v>
      </c>
      <c r="CD101" s="38">
        <f t="shared" si="71"/>
        <v>3.4398556109990444</v>
      </c>
      <c r="CE101" s="32">
        <f t="shared" si="72"/>
        <v>29.939484021658352</v>
      </c>
      <c r="CF101" s="32">
        <f t="shared" si="73"/>
        <v>29.812081961991723</v>
      </c>
      <c r="CG101" s="32">
        <f t="shared" si="74"/>
        <v>56.184308312984399</v>
      </c>
      <c r="CH101" s="32">
        <f t="shared" si="75"/>
        <v>51.725236224652299</v>
      </c>
      <c r="CI101" s="32">
        <f t="shared" si="76"/>
        <v>5.8107627888326263</v>
      </c>
      <c r="CJ101">
        <v>470.95</v>
      </c>
      <c r="CK101">
        <v>18</v>
      </c>
      <c r="CL101">
        <v>27</v>
      </c>
      <c r="CM101" s="35">
        <v>217</v>
      </c>
      <c r="CN101">
        <v>207</v>
      </c>
      <c r="CO101">
        <v>103</v>
      </c>
      <c r="CP101">
        <v>90</v>
      </c>
      <c r="CQ101">
        <v>103</v>
      </c>
      <c r="CR101">
        <v>82</v>
      </c>
      <c r="CS101" s="20">
        <v>1</v>
      </c>
      <c r="CT101" s="20">
        <v>0</v>
      </c>
      <c r="CU101" s="35">
        <f t="shared" si="77"/>
        <v>-1</v>
      </c>
      <c r="CV101" s="38">
        <f t="shared" si="78"/>
        <v>0.61538461538461542</v>
      </c>
      <c r="CW101" s="38">
        <f t="shared" si="79"/>
        <v>0</v>
      </c>
      <c r="CX101" s="38">
        <f t="shared" si="80"/>
        <v>-0.61538461538461542</v>
      </c>
      <c r="CY101" s="40">
        <v>5.25</v>
      </c>
      <c r="CZ101" s="40">
        <v>4.42</v>
      </c>
      <c r="DA101" s="40">
        <v>5.74</v>
      </c>
      <c r="DB101" s="40">
        <v>6.31</v>
      </c>
      <c r="DC101" s="40">
        <v>4.93</v>
      </c>
      <c r="DD101" s="40">
        <v>3.76</v>
      </c>
      <c r="DE101">
        <v>0</v>
      </c>
      <c r="DF101">
        <v>0</v>
      </c>
      <c r="DG101" s="33" t="str">
        <f t="shared" si="81"/>
        <v xml:space="preserve"> </v>
      </c>
      <c r="DH101">
        <v>0</v>
      </c>
      <c r="DI101">
        <v>0</v>
      </c>
      <c r="DJ101">
        <v>0</v>
      </c>
      <c r="DK101">
        <v>0</v>
      </c>
      <c r="DL101">
        <v>0</v>
      </c>
      <c r="DM101" s="1" t="s">
        <v>532</v>
      </c>
      <c r="DN101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Zarubiak</dc:creator>
  <cp:lastModifiedBy>Cam Zarubiak</cp:lastModifiedBy>
  <dcterms:created xsi:type="dcterms:W3CDTF">2018-03-09T05:33:34Z</dcterms:created>
  <dcterms:modified xsi:type="dcterms:W3CDTF">2018-03-10T21:23:17Z</dcterms:modified>
</cp:coreProperties>
</file>