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ables/table3.xml" ContentType="application/vnd.openxmlformats-officedocument.spreadsheetml.table+xml"/>
  <Override PartName="/xl/queryTables/queryTable1.xml" ContentType="application/vnd.openxmlformats-officedocument.spreadsheetml.queryTable+xml"/>
  <Override PartName="/xl/drawings/drawing3.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olo\Documents\EXCEL\EDA\"/>
    </mc:Choice>
  </mc:AlternateContent>
  <xr:revisionPtr revIDLastSave="0" documentId="13_ncr:1_{80339695-0E01-4721-9577-D7FFB3FA0860}" xr6:coauthVersionLast="47" xr6:coauthVersionMax="47" xr10:uidLastSave="{00000000-0000-0000-0000-000000000000}"/>
  <bookViews>
    <workbookView xWindow="-120" yWindow="-120" windowWidth="29040" windowHeight="15840" tabRatio="796" activeTab="12" xr2:uid="{26D4546B-D2A1-4444-8EAF-A6228F96F0C1}"/>
  </bookViews>
  <sheets>
    <sheet name="Data" sheetId="1" r:id="rId1"/>
    <sheet name="India Staff" sheetId="2" state="hidden" r:id="rId2"/>
    <sheet name="TABLE1" sheetId="4" state="hidden" r:id="rId3"/>
    <sheet name="TABLE2" sheetId="5" state="hidden" r:id="rId4"/>
    <sheet name="TASKS" sheetId="3" r:id="rId5"/>
    <sheet name="malevsfemale" sheetId="11" r:id="rId6"/>
    <sheet name="ALLDATA" sheetId="6" r:id="rId7"/>
    <sheet name="Salary Spread" sheetId="12" r:id="rId8"/>
    <sheet name="SERIE_TENURE" sheetId="16" r:id="rId9"/>
    <sheet name="Finder" sheetId="7" r:id="rId10"/>
    <sheet name="salary vs rating" sheetId="15" state="hidden" r:id="rId11"/>
    <sheet name="CARD_PIVOTS" sheetId="18" state="hidden" r:id="rId12"/>
    <sheet name="CARDS" sheetId="17" r:id="rId13"/>
  </sheets>
  <definedNames>
    <definedName name="_xlnm._FilterDatabase" localSheetId="0" hidden="1">Data!$C$5:$I$105</definedName>
    <definedName name="_xlnm._FilterDatabase" localSheetId="1" hidden="1">'India Staff'!$B$2:$H$114</definedName>
    <definedName name="_xlchart.v1.0" hidden="1">ALLDATA!$F$1</definedName>
    <definedName name="_xlchart.v1.1" hidden="1">ALLDATA!$F$2:$F$185</definedName>
    <definedName name="_xlchart.v1.2" hidden="1">ALLDATA!$F$1</definedName>
    <definedName name="_xlchart.v1.3" hidden="1">ALLDATA!$F$2:$F$183</definedName>
    <definedName name="_xlchart.v1.4" hidden="1">ALLDATA!$F$1</definedName>
    <definedName name="_xlchart.v1.5" hidden="1">ALLDATA!$F$2:$F$183</definedName>
    <definedName name="_xlcn.WorksheetConnection_blankdatafile.xlsxstaff1" hidden="1">staff[]</definedName>
    <definedName name="_xlcn.WorksheetConnection_blankdatafile.xlsxTable21" hidden="1">Table2[]</definedName>
    <definedName name="ExternalData_1" localSheetId="6" hidden="1">ALLDATA!$A$1:$H$183</definedName>
    <definedName name="Slicer_Country">#N/A</definedName>
    <definedName name="Slicer_Country1">#N/A</definedName>
    <definedName name="Slicer_Country2">#N/A</definedName>
  </definedNames>
  <calcPr calcId="191029"/>
  <pivotCaches>
    <pivotCache cacheId="397" r:id="rId14"/>
    <pivotCache cacheId="398" r:id="rId15"/>
    <pivotCache cacheId="399" r:id="rId16"/>
    <pivotCache cacheId="471" r:id="rId17"/>
    <pivotCache cacheId="474" r:id="rId18"/>
  </pivotCaches>
  <extLst>
    <ext xmlns:x14="http://schemas.microsoft.com/office/spreadsheetml/2009/9/main" uri="{876F7934-8845-4945-9796-88D515C7AA90}">
      <x14:pivotCaches>
        <pivotCache cacheId="321" r:id="rId19"/>
        <pivotCache cacheId="444" r:id="rId20"/>
      </x14:pivotCaches>
    </ext>
    <ext xmlns:x14="http://schemas.microsoft.com/office/spreadsheetml/2009/9/main" uri="{BBE1A952-AA13-448e-AADC-164F8A28A991}">
      <x14:slicerCaches>
        <x14:slicerCache r:id="rId21"/>
        <x14:slicerCache r:id="rId22"/>
        <x14:slicerCache r:id="rId2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xlsx!staff"/>
          <x15:modelTable id="Table2" name="Table2" connection="WorksheetConnection_blank-data-file.xlsx!Table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5" i="17" l="1"/>
  <c r="M5" i="17"/>
  <c r="G5" i="17"/>
  <c r="K5" i="17"/>
  <c r="I5" i="17"/>
  <c r="E5" i="17"/>
  <c r="B1" i="16" a="1"/>
  <c r="B1" i="16" s="1"/>
  <c r="C3" i="16" s="1" a="1"/>
  <c r="C3" i="16" s="1"/>
  <c r="B3" i="16"/>
  <c r="B2" i="16"/>
  <c r="M43" i="6"/>
  <c r="M41" i="6"/>
  <c r="R41" i="6" a="1"/>
  <c r="R41" i="6" s="1"/>
  <c r="S41" i="6" s="1" a="1"/>
  <c r="S41" i="6" s="1"/>
  <c r="T41" i="6" s="1" a="1"/>
  <c r="T41" i="6" s="1"/>
  <c r="Q42" i="6"/>
  <c r="Q43" i="6"/>
  <c r="Q44" i="6"/>
  <c r="Q45" i="6"/>
  <c r="Q46" i="6"/>
  <c r="Q47" i="6"/>
  <c r="Q48" i="6"/>
  <c r="Q49" i="6"/>
  <c r="Q50" i="6"/>
  <c r="Q51" i="6"/>
  <c r="Q52" i="6"/>
  <c r="Q53" i="6"/>
  <c r="Q54" i="6"/>
  <c r="Q55" i="6"/>
  <c r="Q56" i="6"/>
  <c r="Q57" i="6"/>
  <c r="Q58" i="6"/>
  <c r="Q59" i="6"/>
  <c r="Q60" i="6"/>
  <c r="Q61" i="6"/>
  <c r="Q62" i="6"/>
  <c r="Q63" i="6"/>
  <c r="Q64" i="6"/>
  <c r="Q65" i="6"/>
  <c r="Q66" i="6"/>
  <c r="Q67" i="6"/>
  <c r="Q68" i="6"/>
  <c r="Q69" i="6"/>
  <c r="Q70" i="6"/>
  <c r="Q71" i="6"/>
  <c r="Q72" i="6"/>
  <c r="Q41" i="6"/>
  <c r="N41" i="6" a="1"/>
  <c r="N41" i="6" s="1"/>
  <c r="K2" i="6"/>
  <c r="K3" i="6"/>
  <c r="K4" i="6"/>
  <c r="K5" i="6"/>
  <c r="K6" i="6"/>
  <c r="K7" i="6"/>
  <c r="K8"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53" i="6"/>
  <c r="K54" i="6"/>
  <c r="K55" i="6"/>
  <c r="K56" i="6"/>
  <c r="K57" i="6"/>
  <c r="K58" i="6"/>
  <c r="K59" i="6"/>
  <c r="K60" i="6"/>
  <c r="K61" i="6"/>
  <c r="K62" i="6"/>
  <c r="K63" i="6"/>
  <c r="K64" i="6"/>
  <c r="K65" i="6"/>
  <c r="K66" i="6"/>
  <c r="K67" i="6"/>
  <c r="K68" i="6"/>
  <c r="K69" i="6"/>
  <c r="K70" i="6"/>
  <c r="K71" i="6"/>
  <c r="K72" i="6"/>
  <c r="K73" i="6"/>
  <c r="K74" i="6"/>
  <c r="K75" i="6"/>
  <c r="K76" i="6"/>
  <c r="K77" i="6"/>
  <c r="K78" i="6"/>
  <c r="K79" i="6"/>
  <c r="K80" i="6"/>
  <c r="K81" i="6"/>
  <c r="K82" i="6"/>
  <c r="K83" i="6"/>
  <c r="K84" i="6"/>
  <c r="K85" i="6"/>
  <c r="K86" i="6"/>
  <c r="K87" i="6"/>
  <c r="K88" i="6"/>
  <c r="K89" i="6"/>
  <c r="K90" i="6"/>
  <c r="K91" i="6"/>
  <c r="K92" i="6"/>
  <c r="K93" i="6"/>
  <c r="K94" i="6"/>
  <c r="K95" i="6"/>
  <c r="K96" i="6"/>
  <c r="K97" i="6"/>
  <c r="K98" i="6"/>
  <c r="K99" i="6"/>
  <c r="K100" i="6"/>
  <c r="K101" i="6"/>
  <c r="K102" i="6"/>
  <c r="K103" i="6"/>
  <c r="K104" i="6"/>
  <c r="K105" i="6"/>
  <c r="K106" i="6"/>
  <c r="K107" i="6"/>
  <c r="K108" i="6"/>
  <c r="K109" i="6"/>
  <c r="K110" i="6"/>
  <c r="K111" i="6"/>
  <c r="K112" i="6"/>
  <c r="K113" i="6"/>
  <c r="K114" i="6"/>
  <c r="K115" i="6"/>
  <c r="K116" i="6"/>
  <c r="K117" i="6"/>
  <c r="K118" i="6"/>
  <c r="K119" i="6"/>
  <c r="K120" i="6"/>
  <c r="K121" i="6"/>
  <c r="K122" i="6"/>
  <c r="K123" i="6"/>
  <c r="K124" i="6"/>
  <c r="K125" i="6"/>
  <c r="K126" i="6"/>
  <c r="K127" i="6"/>
  <c r="K128" i="6"/>
  <c r="K129" i="6"/>
  <c r="K130" i="6"/>
  <c r="K131" i="6"/>
  <c r="K132" i="6"/>
  <c r="K133" i="6"/>
  <c r="K134" i="6"/>
  <c r="K135" i="6"/>
  <c r="K136" i="6"/>
  <c r="K137" i="6"/>
  <c r="K138" i="6"/>
  <c r="K139" i="6"/>
  <c r="K140" i="6"/>
  <c r="K141" i="6"/>
  <c r="K142" i="6"/>
  <c r="K143" i="6"/>
  <c r="K144" i="6"/>
  <c r="K145" i="6"/>
  <c r="K146" i="6"/>
  <c r="K147" i="6"/>
  <c r="K148" i="6"/>
  <c r="K149" i="6"/>
  <c r="K150" i="6"/>
  <c r="K151" i="6"/>
  <c r="K152" i="6"/>
  <c r="K153" i="6"/>
  <c r="K154" i="6"/>
  <c r="K155" i="6"/>
  <c r="K156" i="6"/>
  <c r="K157" i="6"/>
  <c r="K158" i="6"/>
  <c r="K159" i="6"/>
  <c r="K160" i="6"/>
  <c r="K161" i="6"/>
  <c r="K162" i="6"/>
  <c r="K163" i="6"/>
  <c r="K164" i="6"/>
  <c r="K165" i="6"/>
  <c r="K166" i="6"/>
  <c r="K167" i="6"/>
  <c r="K168" i="6"/>
  <c r="K169" i="6"/>
  <c r="K170" i="6"/>
  <c r="K171" i="6"/>
  <c r="K172" i="6"/>
  <c r="K173" i="6"/>
  <c r="K174" i="6"/>
  <c r="K175" i="6"/>
  <c r="K176" i="6"/>
  <c r="K177" i="6"/>
  <c r="K178" i="6"/>
  <c r="K179" i="6"/>
  <c r="K180" i="6"/>
  <c r="K181" i="6"/>
  <c r="K182" i="6"/>
  <c r="K183" i="6"/>
  <c r="N34" i="6" a="1"/>
  <c r="N34" i="6" s="1"/>
  <c r="B7" i="7" a="1"/>
  <c r="B7" i="7" s="1"/>
  <c r="O28" i="6"/>
  <c r="O12" i="6"/>
  <c r="Q9" i="6"/>
  <c r="P9" i="6"/>
  <c r="O9" i="6"/>
  <c r="O11" i="6" s="1"/>
  <c r="I86" i="6"/>
  <c r="J86" i="6" s="1"/>
  <c r="I36" i="6"/>
  <c r="J36" i="6" s="1"/>
  <c r="I176" i="6"/>
  <c r="J176" i="6" s="1"/>
  <c r="I38" i="6"/>
  <c r="J38" i="6" s="1"/>
  <c r="I160" i="6"/>
  <c r="J160" i="6" s="1"/>
  <c r="I26" i="6"/>
  <c r="J26" i="6" s="1"/>
  <c r="I62" i="6"/>
  <c r="J62" i="6" s="1"/>
  <c r="I42" i="6"/>
  <c r="J42" i="6" s="1"/>
  <c r="I183" i="6"/>
  <c r="J183" i="6" s="1"/>
  <c r="I158" i="6"/>
  <c r="J158" i="6" s="1"/>
  <c r="I68" i="6"/>
  <c r="J68" i="6" s="1"/>
  <c r="I78" i="6"/>
  <c r="J78" i="6" s="1"/>
  <c r="I152" i="6"/>
  <c r="J152" i="6" s="1"/>
  <c r="I18" i="6"/>
  <c r="J18" i="6" s="1"/>
  <c r="I136" i="6"/>
  <c r="J136" i="6" s="1"/>
  <c r="I8" i="6"/>
  <c r="J8" i="6" s="1"/>
  <c r="I48" i="6"/>
  <c r="J48" i="6" s="1"/>
  <c r="I14" i="6"/>
  <c r="J14" i="6" s="1"/>
  <c r="I98" i="6"/>
  <c r="J98" i="6" s="1"/>
  <c r="I52" i="6"/>
  <c r="J52" i="6" s="1"/>
  <c r="I72" i="6"/>
  <c r="J72" i="6" s="1"/>
  <c r="I50" i="6"/>
  <c r="J50" i="6" s="1"/>
  <c r="I30" i="6"/>
  <c r="J30" i="6" s="1"/>
  <c r="I64" i="6"/>
  <c r="J64" i="6" s="1"/>
  <c r="I92" i="6"/>
  <c r="J92" i="6" s="1"/>
  <c r="I118" i="6"/>
  <c r="J118" i="6" s="1"/>
  <c r="I4" i="6"/>
  <c r="J4" i="6" s="1"/>
  <c r="I100" i="6"/>
  <c r="J100" i="6" s="1"/>
  <c r="I58" i="6"/>
  <c r="J58" i="6" s="1"/>
  <c r="I96" i="6"/>
  <c r="J96" i="6" s="1"/>
  <c r="I178" i="6"/>
  <c r="J178" i="6" s="1"/>
  <c r="I106" i="6"/>
  <c r="J106" i="6" s="1"/>
  <c r="I156" i="6"/>
  <c r="J156" i="6" s="1"/>
  <c r="I32" i="6"/>
  <c r="J32" i="6" s="1"/>
  <c r="I138" i="6"/>
  <c r="J138" i="6" s="1"/>
  <c r="I132" i="6"/>
  <c r="J132" i="6" s="1"/>
  <c r="I142" i="6"/>
  <c r="J142" i="6" s="1"/>
  <c r="I28" i="6"/>
  <c r="J28" i="6" s="1"/>
  <c r="I34" i="6"/>
  <c r="J34" i="6" s="1"/>
  <c r="I104" i="6"/>
  <c r="J104" i="6" s="1"/>
  <c r="I116" i="6"/>
  <c r="J116" i="6" s="1"/>
  <c r="I112" i="6"/>
  <c r="J112" i="6" s="1"/>
  <c r="I128" i="6"/>
  <c r="J128" i="6" s="1"/>
  <c r="I162" i="6"/>
  <c r="J162" i="6" s="1"/>
  <c r="I108" i="6"/>
  <c r="J108" i="6" s="1"/>
  <c r="I76" i="6"/>
  <c r="J76" i="6" s="1"/>
  <c r="I110" i="6"/>
  <c r="J110" i="6" s="1"/>
  <c r="I54" i="6"/>
  <c r="J54" i="6" s="1"/>
  <c r="I182" i="6"/>
  <c r="J182" i="6" s="1"/>
  <c r="I24" i="6"/>
  <c r="J24" i="6" s="1"/>
  <c r="I20" i="6"/>
  <c r="J20" i="6" s="1"/>
  <c r="I163" i="6"/>
  <c r="J163" i="6" s="1"/>
  <c r="I174" i="6"/>
  <c r="J174" i="6" s="1"/>
  <c r="I82" i="6"/>
  <c r="J82" i="6" s="1"/>
  <c r="I88" i="6"/>
  <c r="J88" i="6" s="1"/>
  <c r="I154" i="6"/>
  <c r="J154" i="6" s="1"/>
  <c r="I168" i="6"/>
  <c r="J168" i="6" s="1"/>
  <c r="I80" i="6"/>
  <c r="J80" i="6" s="1"/>
  <c r="I180" i="6"/>
  <c r="J180" i="6" s="1"/>
  <c r="I102" i="6"/>
  <c r="J102" i="6" s="1"/>
  <c r="I172" i="6"/>
  <c r="J172" i="6" s="1"/>
  <c r="I124" i="6"/>
  <c r="J124" i="6" s="1"/>
  <c r="I148" i="6"/>
  <c r="J148" i="6" s="1"/>
  <c r="I44" i="6"/>
  <c r="J44" i="6" s="1"/>
  <c r="I122" i="6"/>
  <c r="J122" i="6" s="1"/>
  <c r="I46" i="6"/>
  <c r="J46" i="6" s="1"/>
  <c r="I130" i="6"/>
  <c r="J130" i="6" s="1"/>
  <c r="I70" i="6"/>
  <c r="J70" i="6" s="1"/>
  <c r="I22" i="6"/>
  <c r="J22" i="6" s="1"/>
  <c r="I60" i="6"/>
  <c r="J60" i="6" s="1"/>
  <c r="I144" i="6"/>
  <c r="J144" i="6" s="1"/>
  <c r="I120" i="6"/>
  <c r="J120" i="6" s="1"/>
  <c r="I140" i="6"/>
  <c r="J140" i="6" s="1"/>
  <c r="I170" i="6"/>
  <c r="J170" i="6" s="1"/>
  <c r="I2" i="6"/>
  <c r="J2" i="6" s="1"/>
  <c r="I150" i="6"/>
  <c r="J150" i="6" s="1"/>
  <c r="I10" i="6"/>
  <c r="J10" i="6" s="1"/>
  <c r="I126" i="6"/>
  <c r="J126" i="6" s="1"/>
  <c r="I6" i="6"/>
  <c r="J6" i="6" s="1"/>
  <c r="I146" i="6"/>
  <c r="J146" i="6" s="1"/>
  <c r="I134" i="6"/>
  <c r="J134" i="6" s="1"/>
  <c r="I114" i="6"/>
  <c r="J114" i="6" s="1"/>
  <c r="I16" i="6"/>
  <c r="J16" i="6" s="1"/>
  <c r="I56" i="6"/>
  <c r="J56" i="6" s="1"/>
  <c r="I66" i="6"/>
  <c r="J66" i="6" s="1"/>
  <c r="I12" i="6"/>
  <c r="J12" i="6" s="1"/>
  <c r="I94" i="6"/>
  <c r="J94" i="6" s="1"/>
  <c r="I90" i="6"/>
  <c r="J90" i="6" s="1"/>
  <c r="I74" i="6"/>
  <c r="J74" i="6" s="1"/>
  <c r="I84" i="6"/>
  <c r="J84" i="6" s="1"/>
  <c r="I39" i="6"/>
  <c r="J39" i="6" s="1"/>
  <c r="I164" i="6"/>
  <c r="J164" i="6" s="1"/>
  <c r="I19" i="6"/>
  <c r="J19" i="6" s="1"/>
  <c r="I143" i="6"/>
  <c r="J143" i="6" s="1"/>
  <c r="I21" i="6"/>
  <c r="J21" i="6" s="1"/>
  <c r="I177" i="6"/>
  <c r="J177" i="6" s="1"/>
  <c r="I47" i="6"/>
  <c r="J47" i="6" s="1"/>
  <c r="I131" i="6"/>
  <c r="J131" i="6" s="1"/>
  <c r="I125" i="6"/>
  <c r="J125" i="6" s="1"/>
  <c r="I91" i="6"/>
  <c r="J91" i="6" s="1"/>
  <c r="I157" i="6"/>
  <c r="J157" i="6" s="1"/>
  <c r="I147" i="6"/>
  <c r="J147" i="6" s="1"/>
  <c r="I135" i="6"/>
  <c r="J135" i="6" s="1"/>
  <c r="I25" i="6"/>
  <c r="J25" i="6" s="1"/>
  <c r="I9" i="6"/>
  <c r="J9" i="6" s="1"/>
  <c r="I165" i="6"/>
  <c r="J165" i="6" s="1"/>
  <c r="I33" i="6"/>
  <c r="J33" i="6" s="1"/>
  <c r="I83" i="6"/>
  <c r="J83" i="6" s="1"/>
  <c r="I109" i="6"/>
  <c r="J109" i="6" s="1"/>
  <c r="I103" i="6"/>
  <c r="J103" i="6" s="1"/>
  <c r="I45" i="6"/>
  <c r="J45" i="6" s="1"/>
  <c r="I121" i="6"/>
  <c r="J121" i="6" s="1"/>
  <c r="I7" i="6"/>
  <c r="J7" i="6" s="1"/>
  <c r="I93" i="6"/>
  <c r="J93" i="6" s="1"/>
  <c r="I11" i="6"/>
  <c r="J11" i="6" s="1"/>
  <c r="I141" i="6"/>
  <c r="J141" i="6" s="1"/>
  <c r="I51" i="6"/>
  <c r="J51" i="6" s="1"/>
  <c r="I173" i="6"/>
  <c r="J173" i="6" s="1"/>
  <c r="I13" i="6"/>
  <c r="J13" i="6" s="1"/>
  <c r="I161" i="6"/>
  <c r="J161" i="6" s="1"/>
  <c r="I23" i="6"/>
  <c r="J23" i="6" s="1"/>
  <c r="I71" i="6"/>
  <c r="J71" i="6" s="1"/>
  <c r="I139" i="6"/>
  <c r="J139" i="6" s="1"/>
  <c r="I111" i="6"/>
  <c r="J111" i="6" s="1"/>
  <c r="I35" i="6"/>
  <c r="J35" i="6" s="1"/>
  <c r="I159" i="6"/>
  <c r="J159" i="6" s="1"/>
  <c r="I167" i="6"/>
  <c r="J167" i="6" s="1"/>
  <c r="I175" i="6"/>
  <c r="J175" i="6" s="1"/>
  <c r="I31" i="6"/>
  <c r="J31" i="6" s="1"/>
  <c r="I99" i="6"/>
  <c r="J99" i="6" s="1"/>
  <c r="I37" i="6"/>
  <c r="J37" i="6" s="1"/>
  <c r="I115" i="6"/>
  <c r="J115" i="6" s="1"/>
  <c r="I3" i="6"/>
  <c r="J3" i="6" s="1"/>
  <c r="I95" i="6"/>
  <c r="J95" i="6" s="1"/>
  <c r="I53" i="6"/>
  <c r="J53" i="6" s="1"/>
  <c r="I149" i="6"/>
  <c r="J149" i="6" s="1"/>
  <c r="I49" i="6"/>
  <c r="J49" i="6" s="1"/>
  <c r="I127" i="6"/>
  <c r="J127" i="6" s="1"/>
  <c r="I85" i="6"/>
  <c r="J85" i="6" s="1"/>
  <c r="I101" i="6"/>
  <c r="J101" i="6" s="1"/>
  <c r="I123" i="6"/>
  <c r="J123" i="6" s="1"/>
  <c r="I61" i="6"/>
  <c r="J61" i="6" s="1"/>
  <c r="I179" i="6"/>
  <c r="J179" i="6" s="1"/>
  <c r="I67" i="6"/>
  <c r="J67" i="6" s="1"/>
  <c r="I65" i="6"/>
  <c r="J65" i="6" s="1"/>
  <c r="I129" i="6"/>
  <c r="J129" i="6" s="1"/>
  <c r="I29" i="6"/>
  <c r="J29" i="6" s="1"/>
  <c r="I113" i="6"/>
  <c r="J113" i="6" s="1"/>
  <c r="I119" i="6"/>
  <c r="J119" i="6" s="1"/>
  <c r="I77" i="6"/>
  <c r="J77" i="6" s="1"/>
  <c r="I40" i="6"/>
  <c r="J40" i="6" s="1"/>
  <c r="I17" i="6"/>
  <c r="J17" i="6" s="1"/>
  <c r="I155" i="6"/>
  <c r="J155" i="6" s="1"/>
  <c r="I137" i="6"/>
  <c r="J137" i="6" s="1"/>
  <c r="I15" i="6"/>
  <c r="J15" i="6" s="1"/>
  <c r="I89" i="6"/>
  <c r="J89" i="6" s="1"/>
  <c r="I169" i="6"/>
  <c r="J169" i="6" s="1"/>
  <c r="I117" i="6"/>
  <c r="J117" i="6" s="1"/>
  <c r="I41" i="6"/>
  <c r="J41" i="6" s="1"/>
  <c r="I79" i="6"/>
  <c r="J79" i="6" s="1"/>
  <c r="I73" i="6"/>
  <c r="J73" i="6" s="1"/>
  <c r="I81" i="6"/>
  <c r="J81" i="6" s="1"/>
  <c r="I59" i="6"/>
  <c r="J59" i="6" s="1"/>
  <c r="I151" i="6"/>
  <c r="J151" i="6" s="1"/>
  <c r="I181" i="6"/>
  <c r="J181" i="6" s="1"/>
  <c r="I105" i="6"/>
  <c r="J105" i="6" s="1"/>
  <c r="I171" i="6"/>
  <c r="J171" i="6" s="1"/>
  <c r="I145" i="6"/>
  <c r="J145" i="6" s="1"/>
  <c r="I75" i="6"/>
  <c r="J75" i="6" s="1"/>
  <c r="I5" i="6"/>
  <c r="J5" i="6" s="1"/>
  <c r="I63" i="6"/>
  <c r="J63" i="6" s="1"/>
  <c r="I153" i="6"/>
  <c r="J153" i="6" s="1"/>
  <c r="I69" i="6"/>
  <c r="J69" i="6" s="1"/>
  <c r="I97" i="6"/>
  <c r="J97" i="6" s="1"/>
  <c r="I43" i="6"/>
  <c r="J43" i="6" s="1"/>
  <c r="I107" i="6"/>
  <c r="J107" i="6" s="1"/>
  <c r="I55" i="6"/>
  <c r="J55" i="6" s="1"/>
  <c r="I87" i="6"/>
  <c r="J87" i="6" s="1"/>
  <c r="I57" i="6"/>
  <c r="J57" i="6" s="1"/>
  <c r="I27" i="6"/>
  <c r="J27" i="6" s="1"/>
  <c r="I133" i="6"/>
  <c r="J133" i="6" s="1"/>
  <c r="I166" i="6"/>
  <c r="O19" i="6" s="1" a="1"/>
  <c r="O19" i="6" s="1"/>
  <c r="P5" i="6"/>
  <c r="P4" i="6"/>
  <c r="O3" i="6"/>
  <c r="O5" i="6"/>
  <c r="O4" i="6"/>
  <c r="D102" i="4"/>
  <c r="F102" i="4"/>
  <c r="G102" i="4"/>
  <c r="D3" i="16" l="1" a="1"/>
  <c r="P11" i="6"/>
  <c r="J166" i="6"/>
  <c r="Q12" i="6"/>
  <c r="O18" i="6" a="1"/>
  <c r="O18" i="6" s="1"/>
  <c r="P6" i="6"/>
  <c r="O6" i="6"/>
  <c r="D3" i="16" l="1"/>
  <c r="E3" i="16" s="1"/>
  <c r="F3" i="16" s="1"/>
  <c r="E15" i="16"/>
  <c r="F15" i="16" s="1"/>
  <c r="E27" i="16"/>
  <c r="F27" i="16" s="1"/>
  <c r="E4" i="16"/>
  <c r="F4" i="16" s="1"/>
  <c r="E16" i="16"/>
  <c r="F16" i="16" s="1"/>
  <c r="E28" i="16"/>
  <c r="F28" i="16" s="1"/>
  <c r="E36" i="16"/>
  <c r="F36" i="16" s="1"/>
  <c r="E5" i="16"/>
  <c r="F5" i="16" s="1"/>
  <c r="E17" i="16"/>
  <c r="F17" i="16" s="1"/>
  <c r="E29" i="16"/>
  <c r="F29" i="16" s="1"/>
  <c r="E26" i="16"/>
  <c r="F26" i="16" s="1"/>
  <c r="E6" i="16"/>
  <c r="F6" i="16" s="1"/>
  <c r="E18" i="16"/>
  <c r="F18" i="16" s="1"/>
  <c r="E30" i="16"/>
  <c r="F30" i="16" s="1"/>
  <c r="E24" i="16"/>
  <c r="F24" i="16" s="1"/>
  <c r="E7" i="16"/>
  <c r="F7" i="16" s="1"/>
  <c r="E19" i="16"/>
  <c r="F19" i="16" s="1"/>
  <c r="E31" i="16"/>
  <c r="F31" i="16" s="1"/>
  <c r="E12" i="16"/>
  <c r="F12" i="16" s="1"/>
  <c r="E14" i="16"/>
  <c r="F14" i="16" s="1"/>
  <c r="E8" i="16"/>
  <c r="F8" i="16" s="1"/>
  <c r="E20" i="16"/>
  <c r="F20" i="16" s="1"/>
  <c r="E32" i="16"/>
  <c r="F32" i="16" s="1"/>
  <c r="E9" i="16"/>
  <c r="F9" i="16" s="1"/>
  <c r="E21" i="16"/>
  <c r="F21" i="16" s="1"/>
  <c r="E33" i="16"/>
  <c r="F33" i="16" s="1"/>
  <c r="E10" i="16"/>
  <c r="F10" i="16" s="1"/>
  <c r="E22" i="16"/>
  <c r="F22" i="16" s="1"/>
  <c r="E34" i="16"/>
  <c r="F34" i="16" s="1"/>
  <c r="E11" i="16"/>
  <c r="F11" i="16" s="1"/>
  <c r="E23" i="16"/>
  <c r="F23" i="16" s="1"/>
  <c r="E35" i="16"/>
  <c r="F35" i="16" s="1"/>
  <c r="E13" i="16"/>
  <c r="F13" i="16" s="1"/>
  <c r="E25" i="16"/>
  <c r="F25" i="16" s="1"/>
  <c r="G4" i="16" l="1"/>
  <c r="G16" i="16"/>
  <c r="G28" i="16"/>
  <c r="G5" i="16"/>
  <c r="G17" i="16"/>
  <c r="G29" i="16"/>
  <c r="G6" i="16"/>
  <c r="G18" i="16"/>
  <c r="G30" i="16"/>
  <c r="G7" i="16"/>
  <c r="G19" i="16"/>
  <c r="G31" i="16"/>
  <c r="G8" i="16"/>
  <c r="G20" i="16"/>
  <c r="G32" i="16"/>
  <c r="G9" i="16"/>
  <c r="G21" i="16"/>
  <c r="G33" i="16"/>
  <c r="G10" i="16"/>
  <c r="G22" i="16"/>
  <c r="G34" i="16"/>
  <c r="G11" i="16"/>
  <c r="G23" i="16"/>
  <c r="G35" i="16"/>
  <c r="G25" i="16"/>
  <c r="G27" i="16"/>
  <c r="G12" i="16"/>
  <c r="G24" i="16"/>
  <c r="G36" i="16"/>
  <c r="G13" i="16"/>
  <c r="G3" i="16"/>
  <c r="G14" i="16"/>
  <c r="G26" i="16"/>
  <c r="G15" i="1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8CF1D3A-F581-4250-A3CA-1182CDF59941}" keepAlive="1" name="Query - staff" description="Connection to the 'staff' query in the workbook." type="5" refreshedVersion="7" background="1" saveData="1">
    <dbPr connection="Provider=Microsoft.Mashup.OleDb.1;Data Source=$Workbook$;Location=staff;Extended Properties=&quot;&quot;" command="SELECT * FROM [staff]"/>
  </connection>
  <connection id="2" xr16:uid="{A1743963-8520-46DF-B1E9-45D3BF60539E}" keepAlive="1" name="Query - staff (2)" description="Connection to the 'staff (2)' query in the workbook." type="5" refreshedVersion="7" background="1" saveData="1">
    <dbPr connection="Provider=Microsoft.Mashup.OleDb.1;Data Source=$Workbook$;Location=&quot;staff (2)&quot;;Extended Properties=&quot;&quot;" command="SELECT * FROM [staff (2)]"/>
  </connection>
  <connection id="3" xr16:uid="{E4067444-DE92-4F94-BF64-CBB4E9574EC9}" keepAlive="1" name="Query - Table1" description="Connection to the 'Table1' query in the workbook." type="5" refreshedVersion="0" background="1">
    <dbPr connection="Provider=Microsoft.Mashup.OleDb.1;Data Source=$Workbook$;Location=Table1;Extended Properties=&quot;&quot;" command="SELECT * FROM [Table1]"/>
  </connection>
  <connection id="4" xr16:uid="{5DD149D2-FE95-4AFE-BD8A-2334216148E9}" keepAlive="1" name="Query - Table2" description="Connection to the 'Table2' query in the workbook." type="5" refreshedVersion="0" background="1">
    <dbPr connection="Provider=Microsoft.Mashup.OleDb.1;Data Source=$Workbook$;Location=Table2;Extended Properties=&quot;&quot;" command="SELECT * FROM [Table2]"/>
  </connection>
  <connection id="5" xr16:uid="{D531A54F-FA55-4D66-9E19-1DB6F6E4BA58}"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6" xr16:uid="{4A38FEF4-144A-486F-9DF8-D00937196A2A}" name="WorksheetConnection_blank-data-file.xlsx!staff" type="102" refreshedVersion="7" minRefreshableVersion="5">
    <extLst>
      <ext xmlns:x15="http://schemas.microsoft.com/office/spreadsheetml/2010/11/main" uri="{DE250136-89BD-433C-8126-D09CA5730AF9}">
        <x15:connection id="staff" autoDelete="1">
          <x15:rangePr sourceName="_xlcn.WorksheetConnection_blankdatafile.xlsxstaff1"/>
        </x15:connection>
      </ext>
    </extLst>
  </connection>
  <connection id="7" xr16:uid="{33C793E8-FCF0-4F28-8D07-D48CE7930683}" name="WorksheetConnection_blank-data-file.xlsx!Table2" type="102" refreshedVersion="7" minRefreshableVersion="5">
    <extLst>
      <ext xmlns:x15="http://schemas.microsoft.com/office/spreadsheetml/2010/11/main" uri="{DE250136-89BD-433C-8126-D09CA5730AF9}">
        <x15:connection id="Table2">
          <x15:rangePr sourceName="_xlcn.WorksheetConnection_blankdatafile.xlsxTable2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<sst xmlns="http://schemas.openxmlformats.org/spreadsheetml/2006/main" count="2784" uniqueCount="305">
  <si>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</si>
  <si>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</si>
  <si>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</si>
  <si>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</si>
  <si>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</si>
  <si>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</si>
  <si>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</si>
  <si>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</si>
  <si>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</si>
  <si>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</si>
  <si>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</si>
  <si>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</si>
  <si>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</si>
  <si>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</si>
  <si>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</si>
  <si>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</si>
  <si>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</si>
  <si>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</si>
  <si>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</si>
  <si>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</si>
  <si>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</si>
  <si>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</si>
  <si>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</si>
  <si>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</si>
  <si>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</si>
  <si>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</si>
  <si>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</si>
  <si>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</si>
  <si>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</si>
  <si>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</si>
  <si>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</si>
  <si>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</si>
  <si>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</si>
  <si>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</si>
  <si>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</si>
  <si>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</si>
  <si>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</si>
  <si>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</si>
  <si>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</si>
  <si>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</si>
  <si>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</si>
  <si>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</si>
  <si>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</si>
  <si>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</si>
  <si>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</si>
  <si>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</si>
  <si>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</si>
  <si>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</si>
  <si>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</si>
  <si>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</si>
  <si>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</si>
  <si>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</si>
  <si>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</si>
  <si>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</si>
  <si>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</si>
  <si>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</si>
  <si>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</si>
  <si>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</si>
  <si>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</si>
  <si>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</si>
  <si>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</si>
  <si>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</si>
  <si>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</si>
  <si>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</si>
  <si>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</si>
  <si>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</si>
  <si>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</si>
  <si>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</si>
  <si>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</si>
  <si>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</si>
  <si>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</si>
  <si>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</si>
  <si>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</si>
  <si>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</si>
  <si>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</si>
  <si>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</si>
  <si>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</si>
  <si>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</si>
  <si>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</si>
  <si>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</si>
  <si>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</si>
  <si>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</si>
  <si>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</si>
  <si>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</si>
  <si>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</si>
  <si>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</si>
  <si>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</si>
  <si>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</si>
  <si>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</si>
  <si>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</si>
  <si>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</si>
  <si>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</si>
  <si>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</si>
  <si>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</si>
  <si>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</si>
  <si>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</si>
  <si>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</si>
  <si>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</si>
  <si>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</si>
  <si>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</si>
  <si>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</si>
  <si>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</si>
  <si>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</si>
  <si>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</si>
  <si>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</si>
  <si>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</si>
  <si>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</si>
  <si>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</si>
  <si>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</si>
  <si>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</si>
  <si>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</si>
  <si>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</si>
  <si>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</si>
  <si>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</si>
  <si>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</si>
  <si>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</si>
  <si>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</si>
  <si>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</si>
  <si>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</si>
  <si>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</si>
  <si>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</si>
  <si>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</si>
  <si>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</si>
  <si>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</si>
  <si>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</si>
  <si>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</si>
  <si>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</si>
  <si>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</si>
  <si>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</si>
  <si>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</si>
  <si>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</si>
  <si>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</si>
  <si>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</si>
  <si>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</si>
  <si>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</si>
  <si>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</si>
  <si>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</si>
  <si>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</si>
  <si>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</si>
  <si>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</si>
  <si>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</si>
  <si>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</si>
  <si>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</si>
  <si>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</si>
  <si>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</si>
  <si>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</si>
  <si>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</si>
  <si>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</si>
  <si>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</si>
  <si>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</si>
  <si>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</si>
  <si>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</si>
  <si>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</si>
  <si>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</si>
  <si>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</si>
  <si>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</si>
  <si>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</si>
  <si>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</si>
  <si>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</si>
  <si>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</si>
  <si>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</si>
  <si>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</si>
  <si>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</si>
  <si>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</si>
  <si>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</si>
  <si>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</si>
  <si>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</si>
  <si>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</si>
  <si>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</si>
  <si>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</si>
  <si>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</si>
  <si>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</si>
  <si>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</si>
  <si>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</si>
  <si>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</si>
  <si>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</si>
  <si>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</si>
  <si>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</si>
  <si>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</si>
  <si>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</si>
  <si>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</si>
  <si>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</si>
  <si>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</si>
  <si>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</si>
  <si>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</si>
  <si>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</si>
  <si>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</si>
  <si>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</si>
  <si>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</si>
  <si>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</si>
  <si>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</si>
  <si>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</si>
  <si>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</si>
  <si>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</si>
  <si>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</si>
  <si>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</si>
  <si>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</si>
  <si>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</si>
  <si>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</si>
  <si>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</si>
  <si>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</si>
  <si>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</si>
  <si>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</si>
  <si>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</si>
  <si>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1.CONVERT TO FORT TABLE</t>
  </si>
  <si>
    <t xml:space="preserve">2. COUNT THE TOTAL OF ROWS IN TABLE 1 </t>
  </si>
  <si>
    <t>3.FIX THE DATE FORMAT IN COLUMN DATE FROM TABLE1</t>
  </si>
  <si>
    <t xml:space="preserve">4. CHECK FOR DUPLICATES </t>
  </si>
  <si>
    <t xml:space="preserve">5. CONSOLIDATE DATA USING POWER QUERY </t>
  </si>
  <si>
    <t xml:space="preserve">4.1  OPEN ONE TABLE IN POWER QUERY </t>
  </si>
  <si>
    <t>4.2 CREATE A COPY AND THEN MODIFY THE SOURCE TO CHRGE THE SECOND TABBLE</t>
  </si>
  <si>
    <t>4.3 ADD A COLUMN COUNTRY IN EACH TABLE THAT IDENITFY THE NATIONALITY</t>
  </si>
  <si>
    <t>6.HANDLE DUPLICATES</t>
  </si>
  <si>
    <t>7. REPLACE BLANCK VAUES IN GENDER FOR OTHERS</t>
  </si>
  <si>
    <t>8. HANDLE THE NULL VALUES</t>
  </si>
  <si>
    <t xml:space="preserve">9.SAVE AND CREATE A CONNECTION ONLY </t>
  </si>
  <si>
    <t>10.CREATE A NEW SHEET TO SAVE THE CONSOLIDATE TDATA</t>
  </si>
  <si>
    <t>Country</t>
  </si>
  <si>
    <t>NZ</t>
  </si>
  <si>
    <t>Other</t>
  </si>
  <si>
    <t>IND</t>
  </si>
  <si>
    <t>#QUESTIONS -RESOLVE USING FORMULAS</t>
  </si>
  <si>
    <t xml:space="preserve">1.  COUNTER EMPLOYEES </t>
  </si>
  <si>
    <t xml:space="preserve">2. AVERAGE SALARY </t>
  </si>
  <si>
    <t xml:space="preserve">3. AVERAGE AGE </t>
  </si>
  <si>
    <t>4. AVERAGE TENURE</t>
  </si>
  <si>
    <t>1)</t>
  </si>
  <si>
    <t>2)</t>
  </si>
  <si>
    <t>3)</t>
  </si>
  <si>
    <t>4)</t>
  </si>
  <si>
    <t>5. calculate the ratio of females and males</t>
  </si>
  <si>
    <t>5)</t>
  </si>
  <si>
    <t>Tenure</t>
  </si>
  <si>
    <t>MEAN</t>
  </si>
  <si>
    <t>MEDIAN</t>
  </si>
  <si>
    <t>FEMALE</t>
  </si>
  <si>
    <t>MALE</t>
  </si>
  <si>
    <t>TOTAL</t>
  </si>
  <si>
    <t>RATIO FEMALE</t>
  </si>
  <si>
    <t>RATIO MALE</t>
  </si>
  <si>
    <t>6 RATIO OF PEOPLE WHO GAIN MORE THAN 90,000</t>
  </si>
  <si>
    <t>6)</t>
  </si>
  <si>
    <t>xlookup</t>
  </si>
  <si>
    <t>vlookup</t>
  </si>
  <si>
    <t># VLOOKUP</t>
  </si>
  <si>
    <t xml:space="preserve">2. TRANSPOSETHE RETURNED ARRAY </t>
  </si>
  <si>
    <t xml:space="preserve">NOTE:  vlookup solo devuelve un valor </t>
  </si>
  <si>
    <t>DEPARTMENT</t>
  </si>
  <si>
    <t>NAME</t>
  </si>
  <si>
    <t>SALARY</t>
  </si>
  <si>
    <t>RATING</t>
  </si>
  <si>
    <t>FINDER</t>
  </si>
  <si>
    <t>WEBSITE</t>
  </si>
  <si>
    <t># FINDER</t>
  </si>
  <si>
    <t xml:space="preserve">1. CREATE A DYNAMIC FILTER THAT SHOWS NAME, SALARY AND RATING </t>
  </si>
  <si>
    <t xml:space="preserve"># PIVOTS </t>
  </si>
  <si>
    <t>Row Labels</t>
  </si>
  <si>
    <t>Grand Total</t>
  </si>
  <si>
    <t>Average of Salary</t>
  </si>
  <si>
    <t>Column Labels</t>
  </si>
  <si>
    <t>Count of Name</t>
  </si>
  <si>
    <t>Total Count of Name</t>
  </si>
  <si>
    <t>Average of Age</t>
  </si>
  <si>
    <t>Values</t>
  </si>
  <si>
    <t>Total Average of Salary</t>
  </si>
  <si>
    <t>Average of Tenure</t>
  </si>
  <si>
    <t>CREATE A PIVOT TABLE THAT SHOW :</t>
  </si>
  <si>
    <t>1. THE NUMBER OF EMPLOYEES BY GENDER MALE AND FEMALE ONLY</t>
  </si>
  <si>
    <t xml:space="preserve">2. THE AVG OF SALARY </t>
  </si>
  <si>
    <t>3. THE AVG OF AGE</t>
  </si>
  <si>
    <t>4.  THE AVG OF TENURE</t>
  </si>
  <si>
    <t xml:space="preserve">ADD A FILTER TO SEE EMPLOYEES BY COUNTRY </t>
  </si>
  <si>
    <t># FOMULAS</t>
  </si>
  <si>
    <t xml:space="preserve">BONUS </t>
  </si>
  <si>
    <t xml:space="preserve"># DATA ANALYSIS </t>
  </si>
  <si>
    <t>1. SHOW TEH SPREAD OF TEH SALARIES</t>
  </si>
  <si>
    <t xml:space="preserve">2. SHOW IF THERE ARE ANY RELATIONSHIP BETWEEN SALARY AND RATING </t>
  </si>
  <si>
    <t>3. SHOW HOW COMPMANY GROWTH OVER  TIME</t>
  </si>
  <si>
    <t>4. REGIONAL SCORECARD</t>
  </si>
  <si>
    <t xml:space="preserve">SALARY SPREAD </t>
  </si>
  <si>
    <t>CREATE LABELS FROM RATING - CREATE A SCATTERPLOT</t>
  </si>
  <si>
    <t>USE CHARTS AND CONDITIONAL FORMATTING</t>
  </si>
  <si>
    <t>LABELS</t>
  </si>
  <si>
    <t>RATING_LABELS</t>
  </si>
  <si>
    <t xml:space="preserve">1. SEARCH FOR ONE EMPLOYEE BY DEPARTMENT AND RETURN A RANEG FROM GENDER TO TENURE USING XLOOKUP AND VLOOKUP </t>
  </si>
  <si>
    <t>RELEVANT</t>
  </si>
  <si>
    <t xml:space="preserve">Final </t>
  </si>
  <si>
    <t>COUNT</t>
  </si>
  <si>
    <t>Month</t>
  </si>
  <si>
    <t>HeadCount</t>
  </si>
  <si>
    <t>RunningTotal</t>
  </si>
  <si>
    <t>Min</t>
  </si>
  <si>
    <t>max</t>
  </si>
  <si>
    <t>MONTH</t>
  </si>
  <si>
    <t>HEADCOUNT</t>
  </si>
  <si>
    <t>RUNNOING TOTAL</t>
  </si>
  <si>
    <t xml:space="preserve">COUNT </t>
  </si>
  <si>
    <t>min</t>
  </si>
  <si>
    <t>CREATE A SIMPLE formula IN ORER TO GET ALL THE HIRED PEOPLE (ACUMULATE) OVER THE YEARS and months (unique)  then sum the values in a range</t>
  </si>
  <si>
    <t xml:space="preserve">5. CREATE A columns THAT SHOW THE NUM OF PEOPLE HIRED </t>
  </si>
  <si>
    <t>6. Create a serie with the values from date and the hiredpeople acum</t>
  </si>
  <si>
    <t>FORMAT_MONTH</t>
  </si>
  <si>
    <t>HEADCOUNT DEPARTMENTS</t>
  </si>
  <si>
    <t>NEW ZELAND</t>
  </si>
  <si>
    <t>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</si>
</sst>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5" formatCode="&quot;$&quot;#,##0;\-&quot;$&quot;#,##0"/>
    <numFmt numFmtId="6" formatCode="&quot;$&quot;#,##0;[Red]\-&quot;$&quot;#,##0"/>
    <numFmt numFmtId="44" formatCode="_-&quot;$&quot;* #,##0.00_-;\-&quot;$&quot;* #,##0.00_-;_-&quot;$&quot;* &quot;-&quot;??_-;_-@_-"/>
    <numFmt numFmtId="164" formatCode="_-&quot;$&quot;* #,##0_-;\-&quot;$&quot;* #,##0_-;_-&quot;$&quot;* &quot;-&quot;??_-;_-@_-"/>
    <numFmt numFmtId="172" formatCode="&quot;$&quot;#,##0.00"/>
  </numFmts>
  <fonts count="10" x14ac:knownFonts="1">
    <font>
      <sz val="11"/>
      <color theme="1"/>
      <name val="Calibri"/>
      <family val="2"/>
      <scheme val="minor"/>
    </font>
    <font>
      <sz val="28"/>
      <color theme="1"/>
      <name val="Segoe UI Light"/>
      <family val="2"/>
    </font>
    <font>
      <sz val="11"/>
      <color theme="1"/>
      <name val="Calibri"/>
      <family val="2"/>
      <scheme val="minor"/>
    </font>
    <font>
      <sz val="14"/>
      <color rgb="FF9C0006"/>
      <name val="Calibri"/>
      <family val="2"/>
      <scheme val="minor"/>
    </font>
    <font>
      <b/>
      <sz val="11"/>
      <color theme="0"/>
      <name val="Calibri"/>
      <family val="2"/>
      <scheme val="minor"/>
    </font>
    <font>
      <b/>
      <sz val="11"/>
      <color theme="1"/>
      <name val="Calibri"/>
      <family val="2"/>
      <scheme val="minor"/>
    </font>
    <font>
      <b/>
      <sz val="16"/>
      <color theme="1"/>
      <name val="Calibri"/>
      <family val="2"/>
      <scheme val="minor"/>
    </font>
    <font>
      <sz val="11"/>
      <color theme="0"/>
      <name val="Calibri"/>
      <family val="2"/>
      <scheme val="minor"/>
    </font>
    <font>
      <b/>
      <sz val="12"/>
      <color theme="0"/>
      <name val="Calibri"/>
      <family val="2"/>
      <scheme val="minor"/>
    </font>
    <font>
      <sz val="36"/>
      <color theme="1"/>
      <name val="Arial Black"/>
      <family val="2"/>
    </font>
  </fonts>
  <fills count="23">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rgb="FFFFC7CE"/>
      </patternFill>
    </fill>
    <fill>
      <patternFill patternType="solid">
        <fgColor theme="9"/>
        <bgColor theme="9"/>
      </patternFill>
    </fill>
    <fill>
      <patternFill patternType="solid">
        <fgColor theme="9" tint="0.79998168889431442"/>
        <bgColor theme="9" tint="0.79998168889431442"/>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3" tint="0.79998168889431442"/>
        <bgColor theme="9"/>
      </patternFill>
    </fill>
    <fill>
      <patternFill patternType="solid">
        <fgColor theme="3" tint="0.79998168889431442"/>
        <bgColor indexed="64"/>
      </patternFill>
    </fill>
    <fill>
      <patternFill patternType="solid">
        <fgColor theme="5"/>
        <bgColor indexed="64"/>
      </patternFill>
    </fill>
    <fill>
      <patternFill patternType="solid">
        <fgColor theme="3"/>
        <bgColor indexed="64"/>
      </patternFill>
    </fill>
    <fill>
      <patternFill patternType="solid">
        <fgColor theme="9"/>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8" tint="-0.249977111117893"/>
        <bgColor indexed="64"/>
      </patternFill>
    </fill>
    <fill>
      <patternFill patternType="solid">
        <fgColor rgb="FFFFC000"/>
        <bgColor indexed="64"/>
      </patternFill>
    </fill>
  </fills>
  <borders count="1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double">
        <color indexed="64"/>
      </bottom>
      <diagonal/>
    </border>
    <border>
      <left style="medium">
        <color indexed="64"/>
      </left>
      <right/>
      <top/>
      <bottom/>
      <diagonal/>
    </border>
    <border>
      <left/>
      <right/>
      <top/>
      <bottom style="thin">
        <color indexed="64"/>
      </bottom>
      <diagonal/>
    </border>
  </borders>
  <cellStyleXfs count="4">
    <xf numFmtId="0" fontId="0" fillId="0" borderId="0"/>
    <xf numFmtId="44" fontId="2" fillId="0" borderId="0" applyFont="0" applyFill="0" applyBorder="0" applyAlignment="0" applyProtection="0"/>
    <xf numFmtId="9" fontId="2" fillId="0" borderId="0" applyFont="0" applyFill="0" applyBorder="0" applyAlignment="0" applyProtection="0"/>
    <xf numFmtId="0" fontId="3" fillId="4" borderId="0" applyNumberFormat="0" applyBorder="0" applyAlignment="0" applyProtection="0"/>
  </cellStyleXfs>
  <cellXfs count="66">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44" fontId="0" fillId="0" borderId="0" xfId="1" applyFont="1"/>
    <xf numFmtId="44" fontId="2" fillId="0" borderId="0" xfId="0" applyNumberFormat="1" applyFont="1"/>
    <xf numFmtId="164" fontId="0" fillId="0" borderId="0" xfId="1" applyNumberFormat="1" applyFont="1"/>
    <xf numFmtId="14" fontId="0" fillId="0" borderId="0" xfId="0" applyNumberFormat="1"/>
    <xf numFmtId="0" fontId="0" fillId="0" borderId="0" xfId="0" applyNumberFormat="1"/>
    <xf numFmtId="0" fontId="4" fillId="5" borderId="2" xfId="0" applyFont="1" applyFill="1" applyBorder="1"/>
    <xf numFmtId="0" fontId="4" fillId="5" borderId="3" xfId="0" applyFont="1" applyFill="1" applyBorder="1"/>
    <xf numFmtId="0" fontId="6" fillId="0" borderId="0" xfId="0" applyFont="1"/>
    <xf numFmtId="2" fontId="0" fillId="0" borderId="0" xfId="0" applyNumberFormat="1"/>
    <xf numFmtId="0" fontId="3" fillId="4" borderId="0" xfId="3"/>
    <xf numFmtId="0" fontId="5" fillId="7" borderId="0" xfId="0" applyFont="1" applyFill="1"/>
    <xf numFmtId="164" fontId="5" fillId="7" borderId="0" xfId="1" applyNumberFormat="1" applyFont="1" applyFill="1"/>
    <xf numFmtId="2" fontId="5" fillId="7" borderId="0" xfId="0" applyNumberFormat="1" applyFont="1" applyFill="1"/>
    <xf numFmtId="0" fontId="5" fillId="8" borderId="0" xfId="0" applyFont="1" applyFill="1"/>
    <xf numFmtId="0" fontId="5" fillId="8" borderId="0" xfId="0" applyFont="1" applyFill="1" applyAlignment="1">
      <alignment wrapText="1"/>
    </xf>
    <xf numFmtId="9" fontId="5" fillId="8" borderId="0" xfId="2" applyFont="1" applyFill="1"/>
    <xf numFmtId="0" fontId="0" fillId="9" borderId="0" xfId="0" applyFill="1"/>
    <xf numFmtId="9" fontId="0" fillId="9" borderId="0" xfId="0" applyNumberFormat="1" applyFill="1"/>
    <xf numFmtId="0" fontId="7" fillId="10" borderId="0" xfId="0" applyFont="1" applyFill="1"/>
    <xf numFmtId="0" fontId="0" fillId="6" borderId="1" xfId="0" applyNumberFormat="1" applyFont="1" applyFill="1" applyBorder="1"/>
    <xf numFmtId="0" fontId="0" fillId="12" borderId="0" xfId="0" applyFill="1"/>
    <xf numFmtId="14" fontId="0" fillId="12" borderId="4" xfId="0" applyNumberFormat="1" applyFill="1" applyBorder="1"/>
    <xf numFmtId="164" fontId="0" fillId="12" borderId="0" xfId="1" applyNumberFormat="1" applyFont="1" applyFill="1"/>
    <xf numFmtId="0" fontId="4" fillId="5" borderId="5" xfId="0" applyFont="1" applyFill="1" applyBorder="1"/>
    <xf numFmtId="0" fontId="0" fillId="11" borderId="6" xfId="0" applyFill="1" applyBorder="1" applyAlignment="1">
      <alignment horizontal="left"/>
    </xf>
    <xf numFmtId="0" fontId="4" fillId="5" borderId="7" xfId="0" applyFont="1" applyFill="1" applyBorder="1"/>
    <xf numFmtId="0" fontId="0" fillId="11" borderId="8" xfId="0" applyFill="1" applyBorder="1" applyAlignment="1">
      <alignment horizontal="left"/>
    </xf>
    <xf numFmtId="14" fontId="0" fillId="11" borderId="8" xfId="0" applyNumberFormat="1" applyFill="1" applyBorder="1" applyAlignment="1">
      <alignment horizontal="left"/>
    </xf>
    <xf numFmtId="6" fontId="0" fillId="11" borderId="8" xfId="0" applyNumberFormat="1" applyFill="1" applyBorder="1" applyAlignment="1">
      <alignment horizontal="left"/>
    </xf>
    <xf numFmtId="0" fontId="4" fillId="5" borderId="9" xfId="0" applyFont="1" applyFill="1" applyBorder="1"/>
    <xf numFmtId="2" fontId="0" fillId="11" borderId="10" xfId="0" applyNumberFormat="1" applyFill="1" applyBorder="1" applyAlignment="1">
      <alignment horizontal="left"/>
    </xf>
    <xf numFmtId="0" fontId="0" fillId="0" borderId="11" xfId="0" applyBorder="1"/>
    <xf numFmtId="0" fontId="4" fillId="13" borderId="0" xfId="0" applyFont="1" applyFill="1" applyBorder="1"/>
    <xf numFmtId="44" fontId="0" fillId="14" borderId="0" xfId="1" applyFont="1" applyFill="1"/>
    <xf numFmtId="0" fontId="4" fillId="5" borderId="12" xfId="0" applyFont="1" applyFill="1" applyBorder="1" applyAlignment="1">
      <alignment horizontal="center"/>
    </xf>
    <xf numFmtId="0" fontId="4" fillId="5" borderId="0" xfId="0" applyFont="1" applyFill="1" applyBorder="1" applyAlignment="1">
      <alignment horizontal="center"/>
    </xf>
    <xf numFmtId="0" fontId="8" fillId="15" borderId="0" xfId="0" applyFont="1" applyFill="1" applyAlignment="1">
      <alignment horizontal="center"/>
    </xf>
    <xf numFmtId="0" fontId="7" fillId="16" borderId="0" xfId="0" applyFont="1" applyFill="1"/>
    <xf numFmtId="0" fontId="7" fillId="17" borderId="0" xfId="0" applyFont="1" applyFill="1"/>
    <xf numFmtId="0" fontId="0" fillId="0" borderId="0" xfId="0" pivotButton="1"/>
    <xf numFmtId="0" fontId="0" fillId="0" borderId="0" xfId="0" applyAlignment="1">
      <alignment horizontal="left"/>
    </xf>
    <xf numFmtId="0" fontId="0" fillId="0" borderId="0" xfId="0" applyAlignment="1">
      <alignment horizontal="left" indent="1"/>
    </xf>
    <xf numFmtId="3" fontId="0" fillId="0" borderId="0" xfId="0" applyNumberFormat="1"/>
    <xf numFmtId="164" fontId="0" fillId="0" borderId="0" xfId="0" applyNumberFormat="1"/>
    <xf numFmtId="172" fontId="0" fillId="0" borderId="0" xfId="0" applyNumberFormat="1"/>
    <xf numFmtId="0" fontId="0" fillId="17" borderId="0" xfId="0" applyFill="1" applyAlignment="1">
      <alignment horizontal="center"/>
    </xf>
    <xf numFmtId="0" fontId="5" fillId="0" borderId="0" xfId="0" applyFont="1"/>
    <xf numFmtId="14" fontId="0" fillId="9" borderId="0" xfId="0" applyNumberFormat="1" applyFill="1"/>
    <xf numFmtId="0" fontId="0" fillId="0" borderId="4" xfId="0" applyBorder="1"/>
    <xf numFmtId="0" fontId="9" fillId="18" borderId="0" xfId="0" applyFont="1" applyFill="1" applyAlignment="1">
      <alignment horizontal="center" vertical="center"/>
    </xf>
    <xf numFmtId="9" fontId="9" fillId="18" borderId="0" xfId="2" applyFont="1" applyFill="1" applyAlignment="1">
      <alignment horizontal="center" vertical="center"/>
    </xf>
    <xf numFmtId="5" fontId="9" fillId="18" borderId="0" xfId="1" applyNumberFormat="1" applyFont="1" applyFill="1" applyAlignment="1">
      <alignment horizontal="center" vertical="center"/>
    </xf>
    <xf numFmtId="0" fontId="9" fillId="20" borderId="0" xfId="0" applyFont="1" applyFill="1" applyAlignment="1">
      <alignment horizontal="center" vertical="center"/>
    </xf>
    <xf numFmtId="0" fontId="9" fillId="20" borderId="13" xfId="0" applyFont="1" applyFill="1" applyBorder="1" applyAlignment="1">
      <alignment horizontal="center" vertical="center"/>
    </xf>
    <xf numFmtId="0" fontId="9" fillId="21" borderId="0" xfId="0" applyFont="1" applyFill="1" applyAlignment="1">
      <alignment horizontal="center" vertical="center"/>
    </xf>
    <xf numFmtId="0" fontId="9" fillId="22" borderId="0" xfId="0" applyFont="1" applyFill="1" applyAlignment="1">
      <alignment horizontal="center" vertical="center"/>
    </xf>
    <xf numFmtId="0" fontId="9" fillId="19" borderId="0" xfId="0" applyFont="1" applyFill="1" applyAlignment="1">
      <alignment horizontal="center" vertical="center"/>
    </xf>
    <xf numFmtId="9" fontId="9" fillId="19" borderId="0" xfId="2" applyFont="1" applyFill="1" applyAlignment="1">
      <alignment horizontal="center" vertical="center"/>
    </xf>
    <xf numFmtId="5" fontId="9" fillId="19" borderId="0" xfId="1" applyNumberFormat="1" applyFont="1" applyFill="1" applyAlignment="1">
      <alignment horizontal="center" vertical="center"/>
    </xf>
    <xf numFmtId="0" fontId="9" fillId="11" borderId="0" xfId="0" applyFont="1" applyFill="1" applyAlignment="1">
      <alignment horizontal="center" vertical="center"/>
    </xf>
    <xf numFmtId="0" fontId="9" fillId="11" borderId="13" xfId="0" applyFont="1" applyFill="1" applyBorder="1" applyAlignment="1">
      <alignment horizontal="center" vertical="center"/>
    </xf>
  </cellXfs>
  <cellStyles count="4">
    <cellStyle name="Bad" xfId="3" builtinId="27"/>
    <cellStyle name="Currency" xfId="1" builtinId="4"/>
    <cellStyle name="Normal" xfId="0" builtinId="0"/>
    <cellStyle name="Percent" xfId="2" builtinId="5"/>
  </cellStyles>
  <dxfs count="28">
    <dxf>
      <font>
        <color rgb="FF9C0006"/>
      </font>
      <fill>
        <patternFill>
          <bgColor rgb="FFFFC7CE"/>
        </patternFill>
      </fill>
    </dxf>
    <dxf>
      <numFmt numFmtId="0" formatCode="General"/>
    </dxf>
    <dxf>
      <numFmt numFmtId="164" formatCode="_-&quot;$&quot;* #,##0_-;\-&quot;$&quot;* #,##0_-;_-&quot;$&quot;* &quot;-&quot;??_-;_-@_-"/>
    </dxf>
    <dxf>
      <numFmt numFmtId="172" formatCode="&quot;$&quot;#,##0.00"/>
    </dxf>
    <dxf>
      <numFmt numFmtId="164" formatCode="_-&quot;$&quot;* #,##0_-;\-&quot;$&quot;* #,##0_-;_-&quot;$&quot;* &quot;-&quot;??_-;_-@_-"/>
    </dxf>
    <dxf>
      <numFmt numFmtId="19" formatCode="dd/mm/yyyy"/>
    </dxf>
    <dxf>
      <numFmt numFmtId="0" formatCode="General"/>
    </dxf>
    <dxf>
      <numFmt numFmtId="0" formatCode="General"/>
    </dxf>
    <dxf>
      <numFmt numFmtId="0" formatCode="General"/>
    </dxf>
    <dxf>
      <numFmt numFmtId="2" formatCode="0.00"/>
    </dxf>
    <dxf>
      <numFmt numFmtId="2" formatCode="0.00"/>
    </dxf>
    <dxf>
      <numFmt numFmtId="2" formatCode="0.00"/>
    </dxf>
    <dxf>
      <numFmt numFmtId="3"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0" formatCode="dd\-mmm\-yy"/>
    </dxf>
    <dxf>
      <numFmt numFmtId="164" formatCode="_-&quot;$&quot;* #,##0_-;\-&quot;$&quot;* #,##0_-;_-&quot;$&quot;* &quot;-&quot;??_-;_-@_-"/>
    </dxf>
    <dxf>
      <numFmt numFmtId="20" formatCode="dd\-mmm\-yy"/>
    </dxf>
  </dxfs>
  <tableStyles count="0" defaultTableStyle="TableStyleMedium2" defaultPivotStyle="PivotStyleLight16"/>
  <colors>
    <mruColors>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5.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pivotCacheDefinition" Target="pivotCache/pivotCacheDefinition7.xml"/><Relationship Id="rId29"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microsoft.com/office/2007/relationships/slicerCache" Target="slicerCaches/slicerCache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6.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07/relationships/slicerCache" Target="slicerCaches/slicerCache2.xml"/><Relationship Id="rId27" Type="http://schemas.openxmlformats.org/officeDocument/2006/relationships/sharedStrings" Target="sharedStrings.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vs</a:t>
            </a:r>
            <a:r>
              <a:rPr lang="en-US" baseline="0"/>
              <a:t> Rating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scatterChart>
        <c:scatterStyle val="lineMarker"/>
        <c:varyColors val="0"/>
        <c:ser>
          <c:idx val="0"/>
          <c:order val="0"/>
          <c:tx>
            <c:strRef>
              <c:f>ALLDATA!$K$1</c:f>
              <c:strCache>
                <c:ptCount val="1"/>
                <c:pt idx="0">
                  <c:v>RATING_LABELS</c:v>
                </c:pt>
              </c:strCache>
            </c:strRef>
          </c:tx>
          <c:spPr>
            <a:ln w="19050" cap="rnd">
              <a:noFill/>
              <a:round/>
            </a:ln>
            <a:effectLst/>
          </c:spPr>
          <c:marker>
            <c:symbol val="circle"/>
            <c:size val="5"/>
            <c:spPr>
              <a:solidFill>
                <a:schemeClr val="accent1"/>
              </a:solidFill>
              <a:ln w="9525">
                <a:solidFill>
                  <a:schemeClr val="accent1"/>
                </a:solidFill>
              </a:ln>
              <a:effectLst/>
            </c:spPr>
          </c:marker>
          <c:xVal>
            <c:numRef>
              <c:f>ALLDATA!$F$2:$F$184</c:f>
              <c:numCache>
                <c:formatCode>_-"$"* #,##0_-;\-"$"* #,##0_-;_-"$"* "-"??_-;_-@_-</c:formatCode>
                <c:ptCount val="91"/>
                <c:pt idx="0">
                  <c:v>20000</c:v>
                </c:pt>
                <c:pt idx="1">
                  <c:v>18000</c:v>
                </c:pt>
                <c:pt idx="2">
                  <c:v>36040</c:v>
                </c:pt>
                <c:pt idx="3">
                  <c:v>37920</c:v>
                </c:pt>
                <c:pt idx="4">
                  <c:v>40400</c:v>
                </c:pt>
                <c:pt idx="5">
                  <c:v>41570</c:v>
                </c:pt>
                <c:pt idx="6">
                  <c:v>41980</c:v>
                </c:pt>
                <c:pt idx="7">
                  <c:v>43510</c:v>
                </c:pt>
                <c:pt idx="8">
                  <c:v>43840</c:v>
                </c:pt>
                <c:pt idx="9">
                  <c:v>45510</c:v>
                </c:pt>
                <c:pt idx="10">
                  <c:v>47360</c:v>
                </c:pt>
                <c:pt idx="11">
                  <c:v>48170</c:v>
                </c:pt>
                <c:pt idx="12">
                  <c:v>48530</c:v>
                </c:pt>
                <c:pt idx="13">
                  <c:v>48950</c:v>
                </c:pt>
                <c:pt idx="14">
                  <c:v>48980</c:v>
                </c:pt>
                <c:pt idx="15">
                  <c:v>49630</c:v>
                </c:pt>
                <c:pt idx="16">
                  <c:v>52610</c:v>
                </c:pt>
                <c:pt idx="17">
                  <c:v>53240</c:v>
                </c:pt>
                <c:pt idx="18">
                  <c:v>53540</c:v>
                </c:pt>
                <c:pt idx="19">
                  <c:v>53540</c:v>
                </c:pt>
                <c:pt idx="20">
                  <c:v>53870</c:v>
                </c:pt>
                <c:pt idx="21">
                  <c:v>54970</c:v>
                </c:pt>
                <c:pt idx="22">
                  <c:v>56870</c:v>
                </c:pt>
                <c:pt idx="23">
                  <c:v>57090</c:v>
                </c:pt>
                <c:pt idx="24">
                  <c:v>58100</c:v>
                </c:pt>
                <c:pt idx="25">
                  <c:v>58940</c:v>
                </c:pt>
                <c:pt idx="26">
                  <c:v>58960</c:v>
                </c:pt>
                <c:pt idx="27">
                  <c:v>59430</c:v>
                </c:pt>
                <c:pt idx="28">
                  <c:v>60130</c:v>
                </c:pt>
                <c:pt idx="29">
                  <c:v>60570</c:v>
                </c:pt>
                <c:pt idx="30">
                  <c:v>62780</c:v>
                </c:pt>
                <c:pt idx="31">
                  <c:v>64000</c:v>
                </c:pt>
                <c:pt idx="32">
                  <c:v>65360</c:v>
                </c:pt>
                <c:pt idx="33">
                  <c:v>65700</c:v>
                </c:pt>
                <c:pt idx="34">
                  <c:v>65920</c:v>
                </c:pt>
                <c:pt idx="35">
                  <c:v>67910</c:v>
                </c:pt>
                <c:pt idx="36">
                  <c:v>67950</c:v>
                </c:pt>
                <c:pt idx="37">
                  <c:v>68900</c:v>
                </c:pt>
                <c:pt idx="38">
                  <c:v>69070</c:v>
                </c:pt>
                <c:pt idx="39">
                  <c:v>69120</c:v>
                </c:pt>
                <c:pt idx="40">
                  <c:v>69710</c:v>
                </c:pt>
                <c:pt idx="41">
                  <c:v>70270</c:v>
                </c:pt>
                <c:pt idx="42">
                  <c:v>70610</c:v>
                </c:pt>
                <c:pt idx="43">
                  <c:v>71380</c:v>
                </c:pt>
                <c:pt idx="44">
                  <c:v>74550</c:v>
                </c:pt>
                <c:pt idx="45">
                  <c:v>75000</c:v>
                </c:pt>
                <c:pt idx="46">
                  <c:v>75280</c:v>
                </c:pt>
                <c:pt idx="47">
                  <c:v>75480</c:v>
                </c:pt>
                <c:pt idx="48">
                  <c:v>75880</c:v>
                </c:pt>
                <c:pt idx="49">
                  <c:v>75970</c:v>
                </c:pt>
                <c:pt idx="50">
                  <c:v>76900</c:v>
                </c:pt>
                <c:pt idx="51">
                  <c:v>78390</c:v>
                </c:pt>
                <c:pt idx="52">
                  <c:v>78540</c:v>
                </c:pt>
                <c:pt idx="53">
                  <c:v>79570</c:v>
                </c:pt>
                <c:pt idx="54">
                  <c:v>80700</c:v>
                </c:pt>
                <c:pt idx="55">
                  <c:v>83750</c:v>
                </c:pt>
                <c:pt idx="56">
                  <c:v>85000</c:v>
                </c:pt>
                <c:pt idx="57">
                  <c:v>86570</c:v>
                </c:pt>
                <c:pt idx="58">
                  <c:v>87620</c:v>
                </c:pt>
                <c:pt idx="59">
                  <c:v>88050</c:v>
                </c:pt>
                <c:pt idx="60">
                  <c:v>90700</c:v>
                </c:pt>
                <c:pt idx="61">
                  <c:v>91310</c:v>
                </c:pt>
                <c:pt idx="62">
                  <c:v>91650</c:v>
                </c:pt>
                <c:pt idx="63">
                  <c:v>92450</c:v>
                </c:pt>
                <c:pt idx="64">
                  <c:v>92700</c:v>
                </c:pt>
                <c:pt idx="65">
                  <c:v>96140</c:v>
                </c:pt>
                <c:pt idx="66">
                  <c:v>96800</c:v>
                </c:pt>
                <c:pt idx="67">
                  <c:v>99750</c:v>
                </c:pt>
                <c:pt idx="68">
                  <c:v>99970</c:v>
                </c:pt>
                <c:pt idx="69">
                  <c:v>100420</c:v>
                </c:pt>
                <c:pt idx="70">
                  <c:v>103550</c:v>
                </c:pt>
                <c:pt idx="71">
                  <c:v>104120</c:v>
                </c:pt>
                <c:pt idx="72">
                  <c:v>104410</c:v>
                </c:pt>
                <c:pt idx="73">
                  <c:v>104770</c:v>
                </c:pt>
                <c:pt idx="74">
                  <c:v>106460</c:v>
                </c:pt>
                <c:pt idx="75">
                  <c:v>107700</c:v>
                </c:pt>
                <c:pt idx="76">
                  <c:v>109160</c:v>
                </c:pt>
                <c:pt idx="77">
                  <c:v>109190</c:v>
                </c:pt>
                <c:pt idx="78">
                  <c:v>112110</c:v>
                </c:pt>
                <c:pt idx="79">
                  <c:v>112570</c:v>
                </c:pt>
                <c:pt idx="80">
                  <c:v>112650</c:v>
                </c:pt>
                <c:pt idx="81">
                  <c:v>112650</c:v>
                </c:pt>
                <c:pt idx="82">
                  <c:v>112780</c:v>
                </c:pt>
                <c:pt idx="83">
                  <c:v>113280</c:v>
                </c:pt>
                <c:pt idx="84">
                  <c:v>114180</c:v>
                </c:pt>
                <c:pt idx="85">
                  <c:v>114870</c:v>
                </c:pt>
                <c:pt idx="86">
                  <c:v>114890</c:v>
                </c:pt>
                <c:pt idx="87">
                  <c:v>115440</c:v>
                </c:pt>
                <c:pt idx="88">
                  <c:v>115920</c:v>
                </c:pt>
                <c:pt idx="89">
                  <c:v>118100</c:v>
                </c:pt>
              </c:numCache>
            </c:numRef>
          </c:xVal>
          <c:yVal>
            <c:numRef>
              <c:f>ALLDATA!$K$2:$K$184</c:f>
              <c:numCache>
                <c:formatCode>General</c:formatCode>
                <c:ptCount val="91"/>
                <c:pt idx="0">
                  <c:v>3</c:v>
                </c:pt>
                <c:pt idx="1">
                  <c:v>3</c:v>
                </c:pt>
                <c:pt idx="2">
                  <c:v>3</c:v>
                </c:pt>
                <c:pt idx="3">
                  <c:v>3</c:v>
                </c:pt>
                <c:pt idx="4">
                  <c:v>3</c:v>
                </c:pt>
                <c:pt idx="5">
                  <c:v>3</c:v>
                </c:pt>
                <c:pt idx="6">
                  <c:v>3</c:v>
                </c:pt>
                <c:pt idx="7">
                  <c:v>1</c:v>
                </c:pt>
                <c:pt idx="8">
                  <c:v>4</c:v>
                </c:pt>
                <c:pt idx="9">
                  <c:v>3</c:v>
                </c:pt>
                <c:pt idx="10">
                  <c:v>3</c:v>
                </c:pt>
                <c:pt idx="11">
                  <c:v>4</c:v>
                </c:pt>
                <c:pt idx="12">
                  <c:v>4</c:v>
                </c:pt>
                <c:pt idx="13">
                  <c:v>3</c:v>
                </c:pt>
                <c:pt idx="14">
                  <c:v>3</c:v>
                </c:pt>
                <c:pt idx="15">
                  <c:v>2</c:v>
                </c:pt>
                <c:pt idx="16">
                  <c:v>2</c:v>
                </c:pt>
                <c:pt idx="17">
                  <c:v>3</c:v>
                </c:pt>
                <c:pt idx="18">
                  <c:v>3</c:v>
                </c:pt>
                <c:pt idx="19">
                  <c:v>3</c:v>
                </c:pt>
                <c:pt idx="20">
                  <c:v>3</c:v>
                </c:pt>
                <c:pt idx="21">
                  <c:v>3</c:v>
                </c:pt>
                <c:pt idx="22">
                  <c:v>4</c:v>
                </c:pt>
                <c:pt idx="23">
                  <c:v>3</c:v>
                </c:pt>
                <c:pt idx="24">
                  <c:v>3</c:v>
                </c:pt>
                <c:pt idx="25">
                  <c:v>3</c:v>
                </c:pt>
                <c:pt idx="26">
                  <c:v>3</c:v>
                </c:pt>
                <c:pt idx="27">
                  <c:v>3</c:v>
                </c:pt>
                <c:pt idx="28">
                  <c:v>3</c:v>
                </c:pt>
                <c:pt idx="29">
                  <c:v>3</c:v>
                </c:pt>
                <c:pt idx="30">
                  <c:v>3</c:v>
                </c:pt>
                <c:pt idx="31">
                  <c:v>3</c:v>
                </c:pt>
                <c:pt idx="32">
                  <c:v>3</c:v>
                </c:pt>
                <c:pt idx="33">
                  <c:v>3</c:v>
                </c:pt>
                <c:pt idx="34">
                  <c:v>3</c:v>
                </c:pt>
                <c:pt idx="35">
                  <c:v>2</c:v>
                </c:pt>
                <c:pt idx="36">
                  <c:v>3</c:v>
                </c:pt>
                <c:pt idx="37">
                  <c:v>2</c:v>
                </c:pt>
                <c:pt idx="38">
                  <c:v>3</c:v>
                </c:pt>
                <c:pt idx="39">
                  <c:v>3</c:v>
                </c:pt>
                <c:pt idx="40">
                  <c:v>3</c:v>
                </c:pt>
                <c:pt idx="41">
                  <c:v>2</c:v>
                </c:pt>
                <c:pt idx="42">
                  <c:v>3</c:v>
                </c:pt>
                <c:pt idx="43">
                  <c:v>3</c:v>
                </c:pt>
                <c:pt idx="44">
                  <c:v>3</c:v>
                </c:pt>
                <c:pt idx="45">
                  <c:v>5</c:v>
                </c:pt>
                <c:pt idx="46">
                  <c:v>3</c:v>
                </c:pt>
                <c:pt idx="47">
                  <c:v>1</c:v>
                </c:pt>
                <c:pt idx="48">
                  <c:v>3</c:v>
                </c:pt>
                <c:pt idx="49">
                  <c:v>3</c:v>
                </c:pt>
                <c:pt idx="50">
                  <c:v>4</c:v>
                </c:pt>
                <c:pt idx="51">
                  <c:v>3</c:v>
                </c:pt>
                <c:pt idx="52">
                  <c:v>3</c:v>
                </c:pt>
                <c:pt idx="53">
                  <c:v>3</c:v>
                </c:pt>
                <c:pt idx="54">
                  <c:v>4</c:v>
                </c:pt>
                <c:pt idx="55">
                  <c:v>3</c:v>
                </c:pt>
                <c:pt idx="56">
                  <c:v>3</c:v>
                </c:pt>
                <c:pt idx="57">
                  <c:v>3</c:v>
                </c:pt>
                <c:pt idx="58">
                  <c:v>3</c:v>
                </c:pt>
                <c:pt idx="59">
                  <c:v>2</c:v>
                </c:pt>
                <c:pt idx="60">
                  <c:v>4</c:v>
                </c:pt>
                <c:pt idx="61">
                  <c:v>3</c:v>
                </c:pt>
                <c:pt idx="62">
                  <c:v>4</c:v>
                </c:pt>
                <c:pt idx="63">
                  <c:v>3</c:v>
                </c:pt>
                <c:pt idx="64">
                  <c:v>3</c:v>
                </c:pt>
                <c:pt idx="65">
                  <c:v>3</c:v>
                </c:pt>
                <c:pt idx="66">
                  <c:v>3</c:v>
                </c:pt>
                <c:pt idx="67">
                  <c:v>3</c:v>
                </c:pt>
                <c:pt idx="68">
                  <c:v>3</c:v>
                </c:pt>
                <c:pt idx="69">
                  <c:v>3</c:v>
                </c:pt>
                <c:pt idx="70">
                  <c:v>3</c:v>
                </c:pt>
                <c:pt idx="71">
                  <c:v>3</c:v>
                </c:pt>
                <c:pt idx="72">
                  <c:v>3</c:v>
                </c:pt>
                <c:pt idx="73">
                  <c:v>3</c:v>
                </c:pt>
                <c:pt idx="74">
                  <c:v>3</c:v>
                </c:pt>
                <c:pt idx="75">
                  <c:v>3</c:v>
                </c:pt>
                <c:pt idx="76">
                  <c:v>5</c:v>
                </c:pt>
                <c:pt idx="77">
                  <c:v>4</c:v>
                </c:pt>
                <c:pt idx="78">
                  <c:v>2</c:v>
                </c:pt>
                <c:pt idx="79">
                  <c:v>3</c:v>
                </c:pt>
                <c:pt idx="80">
                  <c:v>3</c:v>
                </c:pt>
                <c:pt idx="81">
                  <c:v>3</c:v>
                </c:pt>
                <c:pt idx="82">
                  <c:v>4</c:v>
                </c:pt>
                <c:pt idx="83">
                  <c:v>1</c:v>
                </c:pt>
                <c:pt idx="84">
                  <c:v>3</c:v>
                </c:pt>
                <c:pt idx="85">
                  <c:v>3</c:v>
                </c:pt>
                <c:pt idx="86">
                  <c:v>3</c:v>
                </c:pt>
                <c:pt idx="87">
                  <c:v>2</c:v>
                </c:pt>
                <c:pt idx="88">
                  <c:v>3</c:v>
                </c:pt>
                <c:pt idx="89">
                  <c:v>3</c:v>
                </c:pt>
              </c:numCache>
            </c:numRef>
          </c:yVal>
          <c:smooth val="0"/>
          <c:extLst>
            <c:ext xmlns:c16="http://schemas.microsoft.com/office/drawing/2014/chart" uri="{C3380CC4-5D6E-409C-BE32-E72D297353CC}">
              <c16:uniqueId val="{00000000-AAF6-405D-9B21-457952A82A07}"/>
            </c:ext>
          </c:extLst>
        </c:ser>
        <c:dLbls>
          <c:showLegendKey val="0"/>
          <c:showVal val="0"/>
          <c:showCatName val="0"/>
          <c:showSerName val="0"/>
          <c:showPercent val="0"/>
          <c:showBubbleSize val="0"/>
        </c:dLbls>
        <c:axId val="1098152256"/>
        <c:axId val="1098155168"/>
      </c:scatterChart>
      <c:valAx>
        <c:axId val="1098152256"/>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quot;$&quot;* #,##0_-;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098155168"/>
        <c:crosses val="autoZero"/>
        <c:crossBetween val="midCat"/>
      </c:valAx>
      <c:valAx>
        <c:axId val="1098155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0981522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a:t>RUNNING</a:t>
            </a:r>
            <a:r>
              <a:rPr lang="es-MX" baseline="0"/>
              <a:t> TOTAL</a:t>
            </a:r>
            <a:endParaRPr lang="es-MX"/>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SERIE_TENURE!$E$3:$E$36</c:f>
              <c:strCache>
                <c:ptCount val="34"/>
                <c:pt idx="0">
                  <c:v>jun-20</c:v>
                </c:pt>
                <c:pt idx="1">
                  <c:v>jul-20</c:v>
                </c:pt>
                <c:pt idx="2">
                  <c:v>ago-20</c:v>
                </c:pt>
                <c:pt idx="3">
                  <c:v>sep-20</c:v>
                </c:pt>
                <c:pt idx="4">
                  <c:v>oct-20</c:v>
                </c:pt>
                <c:pt idx="5">
                  <c:v>nov-20</c:v>
                </c:pt>
                <c:pt idx="6">
                  <c:v>dic-20</c:v>
                </c:pt>
                <c:pt idx="7">
                  <c:v>ene-21</c:v>
                </c:pt>
                <c:pt idx="8">
                  <c:v>feb-21</c:v>
                </c:pt>
                <c:pt idx="9">
                  <c:v>mar-21</c:v>
                </c:pt>
                <c:pt idx="10">
                  <c:v>abr-21</c:v>
                </c:pt>
                <c:pt idx="11">
                  <c:v>may-21</c:v>
                </c:pt>
                <c:pt idx="12">
                  <c:v>jun-21</c:v>
                </c:pt>
                <c:pt idx="13">
                  <c:v>jul-21</c:v>
                </c:pt>
                <c:pt idx="14">
                  <c:v>ago-21</c:v>
                </c:pt>
                <c:pt idx="15">
                  <c:v>sep-21</c:v>
                </c:pt>
                <c:pt idx="16">
                  <c:v>oct-21</c:v>
                </c:pt>
                <c:pt idx="17">
                  <c:v>nov-21</c:v>
                </c:pt>
                <c:pt idx="18">
                  <c:v>dic-21</c:v>
                </c:pt>
                <c:pt idx="19">
                  <c:v>ene-22</c:v>
                </c:pt>
                <c:pt idx="20">
                  <c:v>feb-22</c:v>
                </c:pt>
                <c:pt idx="21">
                  <c:v>mar-22</c:v>
                </c:pt>
                <c:pt idx="22">
                  <c:v>abr-22</c:v>
                </c:pt>
                <c:pt idx="23">
                  <c:v>may-22</c:v>
                </c:pt>
                <c:pt idx="24">
                  <c:v>jun-22</c:v>
                </c:pt>
                <c:pt idx="25">
                  <c:v>jul-22</c:v>
                </c:pt>
                <c:pt idx="26">
                  <c:v>ago-22</c:v>
                </c:pt>
                <c:pt idx="27">
                  <c:v>sep-22</c:v>
                </c:pt>
                <c:pt idx="28">
                  <c:v>oct-22</c:v>
                </c:pt>
                <c:pt idx="29">
                  <c:v>nov-22</c:v>
                </c:pt>
                <c:pt idx="30">
                  <c:v>dic-22</c:v>
                </c:pt>
                <c:pt idx="31">
                  <c:v>ene-23</c:v>
                </c:pt>
                <c:pt idx="32">
                  <c:v>feb-23</c:v>
                </c:pt>
                <c:pt idx="33">
                  <c:v>mar-23</c:v>
                </c:pt>
              </c:strCache>
            </c:strRef>
          </c:cat>
          <c:val>
            <c:numRef>
              <c:f>SERIE_TENURE!$G$3:$G$36</c:f>
              <c:numCache>
                <c:formatCode>General</c:formatCode>
                <c:ptCount val="34"/>
                <c:pt idx="0">
                  <c:v>1</c:v>
                </c:pt>
                <c:pt idx="1">
                  <c:v>6</c:v>
                </c:pt>
                <c:pt idx="2">
                  <c:v>8</c:v>
                </c:pt>
                <c:pt idx="3">
                  <c:v>14</c:v>
                </c:pt>
                <c:pt idx="4">
                  <c:v>20</c:v>
                </c:pt>
                <c:pt idx="5">
                  <c:v>26</c:v>
                </c:pt>
                <c:pt idx="6">
                  <c:v>33</c:v>
                </c:pt>
                <c:pt idx="7">
                  <c:v>39</c:v>
                </c:pt>
                <c:pt idx="8">
                  <c:v>43</c:v>
                </c:pt>
                <c:pt idx="9">
                  <c:v>52</c:v>
                </c:pt>
                <c:pt idx="10">
                  <c:v>57</c:v>
                </c:pt>
                <c:pt idx="11">
                  <c:v>67</c:v>
                </c:pt>
                <c:pt idx="12">
                  <c:v>73</c:v>
                </c:pt>
                <c:pt idx="13">
                  <c:v>86</c:v>
                </c:pt>
                <c:pt idx="14">
                  <c:v>90</c:v>
                </c:pt>
                <c:pt idx="15">
                  <c:v>101</c:v>
                </c:pt>
                <c:pt idx="16">
                  <c:v>104</c:v>
                </c:pt>
                <c:pt idx="17">
                  <c:v>108</c:v>
                </c:pt>
                <c:pt idx="18">
                  <c:v>115</c:v>
                </c:pt>
                <c:pt idx="19">
                  <c:v>118</c:v>
                </c:pt>
                <c:pt idx="20">
                  <c:v>128</c:v>
                </c:pt>
                <c:pt idx="21">
                  <c:v>137</c:v>
                </c:pt>
                <c:pt idx="22">
                  <c:v>146</c:v>
                </c:pt>
                <c:pt idx="23">
                  <c:v>156</c:v>
                </c:pt>
                <c:pt idx="24">
                  <c:v>163</c:v>
                </c:pt>
                <c:pt idx="25">
                  <c:v>168</c:v>
                </c:pt>
                <c:pt idx="26">
                  <c:v>173</c:v>
                </c:pt>
                <c:pt idx="27">
                  <c:v>175</c:v>
                </c:pt>
                <c:pt idx="28">
                  <c:v>178</c:v>
                </c:pt>
                <c:pt idx="29">
                  <c:v>178</c:v>
                </c:pt>
                <c:pt idx="30">
                  <c:v>178</c:v>
                </c:pt>
                <c:pt idx="31">
                  <c:v>178</c:v>
                </c:pt>
                <c:pt idx="32">
                  <c:v>179</c:v>
                </c:pt>
                <c:pt idx="33">
                  <c:v>179</c:v>
                </c:pt>
              </c:numCache>
            </c:numRef>
          </c:val>
          <c:smooth val="0"/>
          <c:extLst>
            <c:ext xmlns:c16="http://schemas.microsoft.com/office/drawing/2014/chart" uri="{C3380CC4-5D6E-409C-BE32-E72D297353CC}">
              <c16:uniqueId val="{00000000-0A06-470A-B758-1BB6E2018223}"/>
            </c:ext>
          </c:extLst>
        </c:ser>
        <c:dLbls>
          <c:showLegendKey val="0"/>
          <c:showVal val="0"/>
          <c:showCatName val="0"/>
          <c:showSerName val="0"/>
          <c:showPercent val="0"/>
          <c:showBubbleSize val="0"/>
        </c:dLbls>
        <c:marker val="1"/>
        <c:smooth val="0"/>
        <c:axId val="411048832"/>
        <c:axId val="411058816"/>
      </c:lineChart>
      <c:catAx>
        <c:axId val="411048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411058816"/>
        <c:crosses val="autoZero"/>
        <c:auto val="1"/>
        <c:lblAlgn val="ctr"/>
        <c:lblOffset val="100"/>
        <c:noMultiLvlLbl val="0"/>
      </c:catAx>
      <c:valAx>
        <c:axId val="411058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411048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[blank-data-file.xlsx]CARD_PIVOTS!PivotTable10</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CARD_PIVOTS!$C$3</c:f>
              <c:strCache>
                <c:ptCount val="1"/>
                <c:pt idx="0">
                  <c:v>Total</c:v>
                </c:pt>
              </c:strCache>
            </c:strRef>
          </c:tx>
          <c:spPr>
            <a:solidFill>
              <a:schemeClr val="accent1"/>
            </a:solidFill>
            <a:ln>
              <a:noFill/>
            </a:ln>
            <a:effectLst/>
          </c:spPr>
          <c:invertIfNegative val="0"/>
          <c:cat>
            <c:strRef>
              <c:f>CARD_PIVOTS!$B$4:$B$9</c:f>
              <c:strCache>
                <c:ptCount val="5"/>
                <c:pt idx="0">
                  <c:v>Procurement</c:v>
                </c:pt>
                <c:pt idx="1">
                  <c:v>Website</c:v>
                </c:pt>
                <c:pt idx="2">
                  <c:v>Finance</c:v>
                </c:pt>
                <c:pt idx="3">
                  <c:v>Sales</c:v>
                </c:pt>
                <c:pt idx="4">
                  <c:v>HR</c:v>
                </c:pt>
              </c:strCache>
            </c:strRef>
          </c:cat>
          <c:val>
            <c:numRef>
              <c:f>CARD_PIVOTS!$C$4:$C$9</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8B35-4517-8F5B-2103B8EB00E7}"/>
            </c:ext>
          </c:extLst>
        </c:ser>
        <c:dLbls>
          <c:showLegendKey val="0"/>
          <c:showVal val="0"/>
          <c:showCatName val="0"/>
          <c:showSerName val="0"/>
          <c:showPercent val="0"/>
          <c:showBubbleSize val="0"/>
        </c:dLbls>
        <c:gapWidth val="182"/>
        <c:axId val="1100490288"/>
        <c:axId val="1100486128"/>
      </c:barChart>
      <c:catAx>
        <c:axId val="11004902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100486128"/>
        <c:crosses val="autoZero"/>
        <c:auto val="1"/>
        <c:lblAlgn val="ctr"/>
        <c:lblOffset val="100"/>
        <c:noMultiLvlLbl val="0"/>
      </c:catAx>
      <c:valAx>
        <c:axId val="1100486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100490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[blank-data-file.xlsx]CARD_PIVOTS!PivotTable11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CARD_PIVOTS!$C$13</c:f>
              <c:strCache>
                <c:ptCount val="1"/>
                <c:pt idx="0">
                  <c:v>Total</c:v>
                </c:pt>
              </c:strCache>
            </c:strRef>
          </c:tx>
          <c:spPr>
            <a:solidFill>
              <a:schemeClr val="accent1"/>
            </a:solidFill>
            <a:ln>
              <a:noFill/>
            </a:ln>
            <a:effectLst/>
          </c:spPr>
          <c:invertIfNegative val="0"/>
          <c:cat>
            <c:strRef>
              <c:f>CARD_PIVOTS!$B$14:$B$19</c:f>
              <c:strCache>
                <c:ptCount val="5"/>
                <c:pt idx="0">
                  <c:v>Procurement</c:v>
                </c:pt>
                <c:pt idx="1">
                  <c:v>Website</c:v>
                </c:pt>
                <c:pt idx="2">
                  <c:v>Finance</c:v>
                </c:pt>
                <c:pt idx="3">
                  <c:v>Sales</c:v>
                </c:pt>
                <c:pt idx="4">
                  <c:v>HR</c:v>
                </c:pt>
              </c:strCache>
            </c:strRef>
          </c:cat>
          <c:val>
            <c:numRef>
              <c:f>CARD_PIVOTS!$C$14:$C$19</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567F-4BFE-ADFA-09E59CAF5F50}"/>
            </c:ext>
          </c:extLst>
        </c:ser>
        <c:dLbls>
          <c:showLegendKey val="0"/>
          <c:showVal val="0"/>
          <c:showCatName val="0"/>
          <c:showSerName val="0"/>
          <c:showPercent val="0"/>
          <c:showBubbleSize val="0"/>
        </c:dLbls>
        <c:gapWidth val="150"/>
        <c:overlap val="100"/>
        <c:axId val="419209664"/>
        <c:axId val="419212992"/>
      </c:barChart>
      <c:catAx>
        <c:axId val="4192096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419212992"/>
        <c:crosses val="autoZero"/>
        <c:auto val="1"/>
        <c:lblAlgn val="ctr"/>
        <c:lblOffset val="100"/>
        <c:noMultiLvlLbl val="0"/>
      </c:catAx>
      <c:valAx>
        <c:axId val="4192129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419209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[blank-data-file.xlsx]CARD_PIVOTS!PivotTable10</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CARD_PIVOTS!$C$3</c:f>
              <c:strCache>
                <c:ptCount val="1"/>
                <c:pt idx="0">
                  <c:v>Total</c:v>
                </c:pt>
              </c:strCache>
            </c:strRef>
          </c:tx>
          <c:spPr>
            <a:solidFill>
              <a:schemeClr val="accent1"/>
            </a:solidFill>
            <a:ln>
              <a:noFill/>
            </a:ln>
            <a:effectLst/>
          </c:spPr>
          <c:invertIfNegative val="0"/>
          <c:cat>
            <c:strRef>
              <c:f>CARD_PIVOTS!$B$4:$B$9</c:f>
              <c:strCache>
                <c:ptCount val="5"/>
                <c:pt idx="0">
                  <c:v>Procurement</c:v>
                </c:pt>
                <c:pt idx="1">
                  <c:v>Website</c:v>
                </c:pt>
                <c:pt idx="2">
                  <c:v>Finance</c:v>
                </c:pt>
                <c:pt idx="3">
                  <c:v>Sales</c:v>
                </c:pt>
                <c:pt idx="4">
                  <c:v>HR</c:v>
                </c:pt>
              </c:strCache>
            </c:strRef>
          </c:cat>
          <c:val>
            <c:numRef>
              <c:f>CARD_PIVOTS!$C$4:$C$9</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5E2C-43F2-9627-7D97C0F80CB8}"/>
            </c:ext>
          </c:extLst>
        </c:ser>
        <c:dLbls>
          <c:showLegendKey val="0"/>
          <c:showVal val="0"/>
          <c:showCatName val="0"/>
          <c:showSerName val="0"/>
          <c:showPercent val="0"/>
          <c:showBubbleSize val="0"/>
        </c:dLbls>
        <c:gapWidth val="25"/>
        <c:axId val="1100490288"/>
        <c:axId val="1100486128"/>
      </c:barChart>
      <c:catAx>
        <c:axId val="11004902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100486128"/>
        <c:crosses val="autoZero"/>
        <c:auto val="1"/>
        <c:lblAlgn val="ctr"/>
        <c:lblOffset val="100"/>
        <c:noMultiLvlLbl val="0"/>
      </c:catAx>
      <c:valAx>
        <c:axId val="1100486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100490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[blank-data-file.xlsx]CARD_PIVOTS!PivotTable11</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CARD_PIVOTS!$C$13</c:f>
              <c:strCache>
                <c:ptCount val="1"/>
                <c:pt idx="0">
                  <c:v>Total</c:v>
                </c:pt>
              </c:strCache>
            </c:strRef>
          </c:tx>
          <c:spPr>
            <a:solidFill>
              <a:srgbClr val="FFC000"/>
            </a:solidFill>
            <a:ln>
              <a:noFill/>
            </a:ln>
            <a:effectLst/>
          </c:spPr>
          <c:invertIfNegative val="0"/>
          <c:cat>
            <c:strRef>
              <c:f>CARD_PIVOTS!$B$14:$B$19</c:f>
              <c:strCache>
                <c:ptCount val="5"/>
                <c:pt idx="0">
                  <c:v>Procurement</c:v>
                </c:pt>
                <c:pt idx="1">
                  <c:v>Website</c:v>
                </c:pt>
                <c:pt idx="2">
                  <c:v>Finance</c:v>
                </c:pt>
                <c:pt idx="3">
                  <c:v>Sales</c:v>
                </c:pt>
                <c:pt idx="4">
                  <c:v>HR</c:v>
                </c:pt>
              </c:strCache>
            </c:strRef>
          </c:cat>
          <c:val>
            <c:numRef>
              <c:f>CARD_PIVOTS!$C$14:$C$19</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9281-4247-A599-625025105019}"/>
            </c:ext>
          </c:extLst>
        </c:ser>
        <c:dLbls>
          <c:showLegendKey val="0"/>
          <c:showVal val="0"/>
          <c:showCatName val="0"/>
          <c:showSerName val="0"/>
          <c:showPercent val="0"/>
          <c:showBubbleSize val="0"/>
        </c:dLbls>
        <c:gapWidth val="25"/>
        <c:overlap val="100"/>
        <c:axId val="419209664"/>
        <c:axId val="419212992"/>
      </c:barChart>
      <c:catAx>
        <c:axId val="4192096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419212992"/>
        <c:crosses val="autoZero"/>
        <c:auto val="1"/>
        <c:lblAlgn val="ctr"/>
        <c:lblOffset val="100"/>
        <c:noMultiLvlLbl val="0"/>
      </c:catAx>
      <c:valAx>
        <c:axId val="4192129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419209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SALARY  SPREAD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a:t>
          </a:r>
        </a:p>
      </cx:txPr>
    </cx:title>
    <cx:plotArea>
      <cx:plotAreaRegion>
        <cx:series layoutId="clusteredColumn" uniqueId="{378060B5-F693-4ED1-BD95-53F02BA612E4}">
          <cx:tx>
            <cx:txData>
              <cx:f>_xlchart.v1.2</cx:f>
              <cx:v>Salary</cx:v>
            </cx:txData>
          </cx:tx>
          <cx:dataId val="0"/>
          <cx:layoutPr>
            <cx:binning intervalClosed="r" underflow="3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a:t>
            </a:r>
          </a:p>
          <a:p>
            <a:pPr algn="ctr" rtl="0">
              <a:defRPr/>
            </a:pPr>
            <a:r>
              <a:rPr lang="en-US" sz="1400" b="0" i="0" u="none" strike="noStrike" baseline="0">
                <a:solidFill>
                  <a:sysClr val="windowText" lastClr="000000">
                    <a:lumMod val="65000"/>
                    <a:lumOff val="35000"/>
                  </a:sysClr>
                </a:solidFill>
                <a:latin typeface="Calibri" panose="020F0502020204030204"/>
              </a:rPr>
              <a:t>BOXPLOT</a:t>
            </a:r>
          </a:p>
        </cx:rich>
      </cx:tx>
    </cx:title>
    <cx:plotArea>
      <cx:plotAreaRegion>
        <cx:series layoutId="boxWhisker" uniqueId="{08168FCE-F4E5-4DFA-AC10-9EBE30C45ABC}">
          <cx:tx>
            <cx:txData>
              <cx:f>_xlchart.v1.4</cx:f>
              <cx:v>Salary</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9">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https://youtu.be/H6k28jhclwI" TargetMode="External"/><Relationship Id="rId2" Type="http://schemas.openxmlformats.org/officeDocument/2006/relationships/image" Target="../media/image1.png"/><Relationship Id="rId1" Type="http://schemas.openxmlformats.org/officeDocument/2006/relationships/hyperlink" Target="https://chandoo.org/wp/" TargetMode="External"/><Relationship Id="rId6" Type="http://schemas.openxmlformats.org/officeDocument/2006/relationships/image" Target="../media/image3.png"/><Relationship Id="rId5" Type="http://schemas.openxmlformats.org/officeDocument/2006/relationships/hyperlink" Target="https://chandoo.org/wp/excel-school-program/" TargetMode="Externa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2.xml"/><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0</xdr:row>
      <xdr:rowOff>149958</xdr:rowOff>
    </xdr:from>
    <xdr:to>
      <xdr:col>16</xdr:col>
      <xdr:colOff>47625</xdr:colOff>
      <xdr:row>2</xdr:row>
      <xdr:rowOff>0</xdr:rowOff>
    </xdr:to>
    <xdr:pic>
      <xdr:nvPicPr>
        <xdr:cNvPr id="4" name="Picture 3">
          <a:hlinkClick xmlns:r="http://schemas.openxmlformats.org/officeDocument/2006/relationships" r:id="rId1"/>
          <a:extLst>
            <a:ext uri="{FF2B5EF4-FFF2-40B4-BE49-F238E27FC236}">
              <a16:creationId xmlns:a16="http://schemas.microsoft.com/office/drawing/2014/main" id="{F92F0C86-81F4-8FF2-79D4-1A937B0920E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67550" y="149958"/>
          <a:ext cx="2486025" cy="707292"/>
        </a:xfrm>
        <a:prstGeom prst="rect">
          <a:avLst/>
        </a:prstGeom>
      </xdr:spPr>
    </xdr:pic>
    <xdr:clientData/>
  </xdr:twoCellAnchor>
  <xdr:twoCellAnchor editAs="oneCell">
    <xdr:from>
      <xdr:col>12</xdr:col>
      <xdr:colOff>0</xdr:colOff>
      <xdr:row>4</xdr:row>
      <xdr:rowOff>0</xdr:rowOff>
    </xdr:from>
    <xdr:to>
      <xdr:col>16</xdr:col>
      <xdr:colOff>6350</xdr:colOff>
      <xdr:row>11</xdr:row>
      <xdr:rowOff>41055</xdr:rowOff>
    </xdr:to>
    <xdr:pic>
      <xdr:nvPicPr>
        <xdr:cNvPr id="2" name="Picture 1">
          <a:hlinkClick xmlns:r="http://schemas.openxmlformats.org/officeDocument/2006/relationships" r:id="rId3"/>
          <a:extLst>
            <a:ext uri="{FF2B5EF4-FFF2-40B4-BE49-F238E27FC236}">
              <a16:creationId xmlns:a16="http://schemas.microsoft.com/office/drawing/2014/main" id="{57E6FE93-84F3-45D7-B277-295969E51D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524625" y="1238250"/>
          <a:ext cx="2444750" cy="1374555"/>
        </a:xfrm>
        <a:prstGeom prst="rect">
          <a:avLst/>
        </a:prstGeom>
        <a:ln>
          <a:solidFill>
            <a:schemeClr val="tx1"/>
          </a:solidFill>
        </a:ln>
      </xdr:spPr>
    </xdr:pic>
    <xdr:clientData/>
  </xdr:twoCellAnchor>
  <xdr:twoCellAnchor>
    <xdr:from>
      <xdr:col>12</xdr:col>
      <xdr:colOff>548508</xdr:colOff>
      <xdr:row>10</xdr:row>
      <xdr:rowOff>124811</xdr:rowOff>
    </xdr:from>
    <xdr:to>
      <xdr:col>15</xdr:col>
      <xdr:colOff>67167</xdr:colOff>
      <xdr:row>12</xdr:row>
      <xdr:rowOff>19707</xdr:rowOff>
    </xdr:to>
    <xdr:sp macro="" textlink="">
      <xdr:nvSpPr>
        <xdr:cNvPr id="3" name="Rectangle: Rounded Corners 2">
          <a:hlinkClick xmlns:r="http://schemas.openxmlformats.org/officeDocument/2006/relationships" r:id="rId3"/>
          <a:extLst>
            <a:ext uri="{FF2B5EF4-FFF2-40B4-BE49-F238E27FC236}">
              <a16:creationId xmlns:a16="http://schemas.microsoft.com/office/drawing/2014/main" id="{FB0C10A5-873E-49A5-819F-85042883FE66}"/>
            </a:ext>
          </a:extLst>
        </xdr:cNvPr>
        <xdr:cNvSpPr/>
      </xdr:nvSpPr>
      <xdr:spPr>
        <a:xfrm>
          <a:off x="7073133" y="2506061"/>
          <a:ext cx="1347459" cy="275896"/>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latin typeface="Roboto" panose="02000000000000000000" pitchFamily="2" charset="0"/>
              <a:ea typeface="Roboto" panose="02000000000000000000" pitchFamily="2" charset="0"/>
            </a:rPr>
            <a:t>Watch the video</a:t>
          </a:r>
        </a:p>
      </xdr:txBody>
    </xdr:sp>
    <xdr:clientData/>
  </xdr:twoCellAnchor>
  <xdr:twoCellAnchor editAs="oneCell">
    <xdr:from>
      <xdr:col>12</xdr:col>
      <xdr:colOff>0</xdr:colOff>
      <xdr:row>13</xdr:row>
      <xdr:rowOff>0</xdr:rowOff>
    </xdr:from>
    <xdr:to>
      <xdr:col>16</xdr:col>
      <xdr:colOff>19488</xdr:colOff>
      <xdr:row>25</xdr:row>
      <xdr:rowOff>170793</xdr:rowOff>
    </xdr:to>
    <xdr:pic>
      <xdr:nvPicPr>
        <xdr:cNvPr id="5" name="Picture 4">
          <a:hlinkClick xmlns:r="http://schemas.openxmlformats.org/officeDocument/2006/relationships" r:id="rId5"/>
          <a:extLst>
            <a:ext uri="{FF2B5EF4-FFF2-40B4-BE49-F238E27FC236}">
              <a16:creationId xmlns:a16="http://schemas.microsoft.com/office/drawing/2014/main" id="{B36909BE-7360-4913-9D8E-2CCF602982C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524625" y="2952750"/>
          <a:ext cx="2457888" cy="2456793"/>
        </a:xfrm>
        <a:prstGeom prst="rect">
          <a:avLst/>
        </a:prstGeom>
        <a:ln>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338137</xdr:colOff>
      <xdr:row>1</xdr:row>
      <xdr:rowOff>125015</xdr:rowOff>
    </xdr:from>
    <xdr:to>
      <xdr:col>6</xdr:col>
      <xdr:colOff>190499</xdr:colOff>
      <xdr:row>7</xdr:row>
      <xdr:rowOff>65484</xdr:rowOff>
    </xdr:to>
    <mc:AlternateContent xmlns:mc="http://schemas.openxmlformats.org/markup-compatibility/2006">
      <mc:Choice xmlns:a14="http://schemas.microsoft.com/office/drawing/2010/main" Requires="a14">
        <xdr:graphicFrame macro="">
          <xdr:nvGraphicFramePr>
            <xdr:cNvPr id="2" name="Country">
              <a:extLst>
                <a:ext uri="{FF2B5EF4-FFF2-40B4-BE49-F238E27FC236}">
                  <a16:creationId xmlns:a16="http://schemas.microsoft.com/office/drawing/2014/main" id="{A00DA36D-BDC6-4E9E-B3A5-F3EF6908F782}"/>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3308746" y="315515"/>
              <a:ext cx="1870472" cy="1083469"/>
            </a:xfrm>
            <a:prstGeom prst="rect">
              <a:avLst/>
            </a:prstGeom>
            <a:solidFill>
              <a:prstClr val="white"/>
            </a:solidFill>
            <a:ln w="1">
              <a:solidFill>
                <a:prstClr val="green"/>
              </a:solidFill>
            </a:ln>
          </xdr:spPr>
          <xdr:txBody>
            <a:bodyPr vertOverflow="clip" horzOverflow="clip"/>
            <a:lstStyle/>
            <a:p>
              <a:r>
                <a:rPr lang="es-MX"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228599</xdr:colOff>
      <xdr:row>2</xdr:row>
      <xdr:rowOff>95250</xdr:rowOff>
    </xdr:from>
    <xdr:to>
      <xdr:col>14</xdr:col>
      <xdr:colOff>438151</xdr:colOff>
      <xdr:row>16</xdr:row>
      <xdr:rowOff>171450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96335725-9FFD-419D-A14C-447DDD4B7E4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28599" y="476250"/>
              <a:ext cx="8743952" cy="2743200"/>
            </a:xfrm>
            <a:prstGeom prst="rect">
              <a:avLst/>
            </a:prstGeom>
            <a:solidFill>
              <a:prstClr val="white"/>
            </a:solidFill>
            <a:ln w="1">
              <a:solidFill>
                <a:prstClr val="green"/>
              </a:solidFill>
            </a:ln>
          </xdr:spPr>
          <xdr:txBody>
            <a:bodyPr vertOverflow="clip" horzOverflow="clip"/>
            <a:lstStyle/>
            <a:p>
              <a:r>
                <a:rPr lang="es-MX"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504825</xdr:colOff>
      <xdr:row>2</xdr:row>
      <xdr:rowOff>95249</xdr:rowOff>
    </xdr:from>
    <xdr:to>
      <xdr:col>22</xdr:col>
      <xdr:colOff>200025</xdr:colOff>
      <xdr:row>36</xdr:row>
      <xdr:rowOff>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C826E78A-E8A0-4B12-9E9C-B51986E5CEB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039225" y="476249"/>
              <a:ext cx="4572000" cy="6381751"/>
            </a:xfrm>
            <a:prstGeom prst="rect">
              <a:avLst/>
            </a:prstGeom>
            <a:solidFill>
              <a:prstClr val="white"/>
            </a:solidFill>
            <a:ln w="1">
              <a:solidFill>
                <a:prstClr val="green"/>
              </a:solidFill>
            </a:ln>
          </xdr:spPr>
          <xdr:txBody>
            <a:bodyPr vertOverflow="clip" horzOverflow="clip"/>
            <a:lstStyle/>
            <a:p>
              <a:r>
                <a:rPr lang="es-MX"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285751</xdr:colOff>
      <xdr:row>17</xdr:row>
      <xdr:rowOff>133349</xdr:rowOff>
    </xdr:from>
    <xdr:to>
      <xdr:col>14</xdr:col>
      <xdr:colOff>457201</xdr:colOff>
      <xdr:row>35</xdr:row>
      <xdr:rowOff>133350</xdr:rowOff>
    </xdr:to>
    <xdr:graphicFrame macro="">
      <xdr:nvGraphicFramePr>
        <xdr:cNvPr id="6" name="Chart 5">
          <a:extLst>
            <a:ext uri="{FF2B5EF4-FFF2-40B4-BE49-F238E27FC236}">
              <a16:creationId xmlns:a16="http://schemas.microsoft.com/office/drawing/2014/main" id="{26DCDDFB-E04E-4C37-8101-4473D86FF9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240196</xdr:colOff>
      <xdr:row>5</xdr:row>
      <xdr:rowOff>15734</xdr:rowOff>
    </xdr:from>
    <xdr:to>
      <xdr:col>18</xdr:col>
      <xdr:colOff>588064</xdr:colOff>
      <xdr:row>29</xdr:row>
      <xdr:rowOff>41412</xdr:rowOff>
    </xdr:to>
    <xdr:graphicFrame macro="">
      <xdr:nvGraphicFramePr>
        <xdr:cNvPr id="3" name="Chart 2">
          <a:extLst>
            <a:ext uri="{FF2B5EF4-FFF2-40B4-BE49-F238E27FC236}">
              <a16:creationId xmlns:a16="http://schemas.microsoft.com/office/drawing/2014/main" id="{9F49ADD9-2FEE-435B-A475-B036E654E8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485774</xdr:colOff>
      <xdr:row>1</xdr:row>
      <xdr:rowOff>152401</xdr:rowOff>
    </xdr:from>
    <xdr:to>
      <xdr:col>6</xdr:col>
      <xdr:colOff>571499</xdr:colOff>
      <xdr:row>7</xdr:row>
      <xdr:rowOff>38101</xdr:rowOff>
    </xdr:to>
    <mc:AlternateContent xmlns:mc="http://schemas.openxmlformats.org/markup-compatibility/2006">
      <mc:Choice xmlns:a14="http://schemas.microsoft.com/office/drawing/2010/main" Requires="a14">
        <xdr:graphicFrame macro="">
          <xdr:nvGraphicFramePr>
            <xdr:cNvPr id="2" name="Country 1">
              <a:extLst>
                <a:ext uri="{FF2B5EF4-FFF2-40B4-BE49-F238E27FC236}">
                  <a16:creationId xmlns:a16="http://schemas.microsoft.com/office/drawing/2014/main" id="{3785466B-14D2-46D5-A4BD-0EC475958D27}"/>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2933699" y="342901"/>
              <a:ext cx="1914525" cy="1028700"/>
            </a:xfrm>
            <a:prstGeom prst="rect">
              <a:avLst/>
            </a:prstGeom>
            <a:solidFill>
              <a:prstClr val="white"/>
            </a:solidFill>
            <a:ln w="1">
              <a:solidFill>
                <a:prstClr val="green"/>
              </a:solidFill>
            </a:ln>
          </xdr:spPr>
          <xdr:txBody>
            <a:bodyPr vertOverflow="clip" horzOverflow="clip"/>
            <a:lstStyle/>
            <a:p>
              <a:r>
                <a:rPr lang="es-MX"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581024</xdr:colOff>
      <xdr:row>12</xdr:row>
      <xdr:rowOff>133351</xdr:rowOff>
    </xdr:from>
    <xdr:to>
      <xdr:col>7</xdr:col>
      <xdr:colOff>19049</xdr:colOff>
      <xdr:row>17</xdr:row>
      <xdr:rowOff>133351</xdr:rowOff>
    </xdr:to>
    <mc:AlternateContent xmlns:mc="http://schemas.openxmlformats.org/markup-compatibility/2006">
      <mc:Choice xmlns:a14="http://schemas.microsoft.com/office/drawing/2010/main" Requires="a14">
        <xdr:graphicFrame macro="">
          <xdr:nvGraphicFramePr>
            <xdr:cNvPr id="3" name="Country 2">
              <a:extLst>
                <a:ext uri="{FF2B5EF4-FFF2-40B4-BE49-F238E27FC236}">
                  <a16:creationId xmlns:a16="http://schemas.microsoft.com/office/drawing/2014/main" id="{7413C0DC-C9EE-4937-A629-4BE58F1F0919}"/>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dr:sp macro="" textlink="">
          <xdr:nvSpPr>
            <xdr:cNvPr id="0" name=""/>
            <xdr:cNvSpPr>
              <a:spLocks noTextEdit="1"/>
            </xdr:cNvSpPr>
          </xdr:nvSpPr>
          <xdr:spPr>
            <a:xfrm>
              <a:off x="3028949" y="2419351"/>
              <a:ext cx="1876425" cy="952500"/>
            </a:xfrm>
            <a:prstGeom prst="rect">
              <a:avLst/>
            </a:prstGeom>
            <a:solidFill>
              <a:prstClr val="white"/>
            </a:solidFill>
            <a:ln w="1">
              <a:solidFill>
                <a:prstClr val="green"/>
              </a:solidFill>
            </a:ln>
          </xdr:spPr>
          <xdr:txBody>
            <a:bodyPr vertOverflow="clip" horzOverflow="clip"/>
            <a:lstStyle/>
            <a:p>
              <a:r>
                <a:rPr lang="es-MX"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561975</xdr:colOff>
      <xdr:row>0</xdr:row>
      <xdr:rowOff>171450</xdr:rowOff>
    </xdr:from>
    <xdr:to>
      <xdr:col>15</xdr:col>
      <xdr:colOff>257175</xdr:colOff>
      <xdr:row>15</xdr:row>
      <xdr:rowOff>57150</xdr:rowOff>
    </xdr:to>
    <xdr:graphicFrame macro="">
      <xdr:nvGraphicFramePr>
        <xdr:cNvPr id="4" name="Chart 3">
          <a:extLst>
            <a:ext uri="{FF2B5EF4-FFF2-40B4-BE49-F238E27FC236}">
              <a16:creationId xmlns:a16="http://schemas.microsoft.com/office/drawing/2014/main" id="{6F9C0D9A-4B74-4857-84A4-3BCABAFD0D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95250</xdr:colOff>
      <xdr:row>16</xdr:row>
      <xdr:rowOff>171450</xdr:rowOff>
    </xdr:from>
    <xdr:to>
      <xdr:col>15</xdr:col>
      <xdr:colOff>400050</xdr:colOff>
      <xdr:row>31</xdr:row>
      <xdr:rowOff>57150</xdr:rowOff>
    </xdr:to>
    <xdr:graphicFrame macro="">
      <xdr:nvGraphicFramePr>
        <xdr:cNvPr id="5" name="Chart 4">
          <a:extLst>
            <a:ext uri="{FF2B5EF4-FFF2-40B4-BE49-F238E27FC236}">
              <a16:creationId xmlns:a16="http://schemas.microsoft.com/office/drawing/2014/main" id="{3CDEF5ED-D65C-4DDC-8045-980574BF2E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8</xdr:row>
      <xdr:rowOff>168088</xdr:rowOff>
    </xdr:from>
    <xdr:to>
      <xdr:col>9</xdr:col>
      <xdr:colOff>22411</xdr:colOff>
      <xdr:row>29</xdr:row>
      <xdr:rowOff>156881</xdr:rowOff>
    </xdr:to>
    <xdr:graphicFrame macro="">
      <xdr:nvGraphicFramePr>
        <xdr:cNvPr id="2" name="Chart 1">
          <a:extLst>
            <a:ext uri="{FF2B5EF4-FFF2-40B4-BE49-F238E27FC236}">
              <a16:creationId xmlns:a16="http://schemas.microsoft.com/office/drawing/2014/main" id="{4444E742-6A05-4F4B-A934-5FC43F8237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42023</xdr:colOff>
      <xdr:row>9</xdr:row>
      <xdr:rowOff>44823</xdr:rowOff>
    </xdr:from>
    <xdr:to>
      <xdr:col>15</xdr:col>
      <xdr:colOff>33617</xdr:colOff>
      <xdr:row>29</xdr:row>
      <xdr:rowOff>145676</xdr:rowOff>
    </xdr:to>
    <xdr:graphicFrame macro="">
      <xdr:nvGraphicFramePr>
        <xdr:cNvPr id="3" name="Chart 2">
          <a:extLst>
            <a:ext uri="{FF2B5EF4-FFF2-40B4-BE49-F238E27FC236}">
              <a16:creationId xmlns:a16="http://schemas.microsoft.com/office/drawing/2014/main" id="{8D265006-7184-44CA-8037-51592C66F2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olo" refreshedDate="45365.82922939815" backgroundQuery="1" createdVersion="7" refreshedVersion="7" minRefreshableVersion="3" recordCount="0" supportSubquery="1" supportAdvancedDrill="1" xr:uid="{00E4FF7C-0410-40D6-BF81-3F62336D76AB}">
  <cacheSource type="external" connectionId="5"/>
  <cacheFields count="4">
    <cacheField name="[staff].[Gender].[Gender]" caption="Gender" numFmtId="0" hierarchy="1" level="1">
      <sharedItems count="2">
        <s v="Female"/>
        <s v="Male"/>
      </sharedItems>
    </cacheField>
    <cacheField name="[staff].[Department].[Department]" caption="Department" numFmtId="0" hierarchy="2" level="1">
      <sharedItems count="5">
        <s v="Finance"/>
        <s v="HR"/>
        <s v="Procurement"/>
        <s v="Sales"/>
        <s v="Website"/>
      </sharedItems>
    </cacheField>
    <cacheField name="[Measures].[Count of Name]" caption="Count of Name" numFmtId="0" hierarchy="16" level="32767"/>
    <cacheField name="[Measures].[Average of Salary]" caption="Average of Salary" numFmtId="0" hierarchy="20" level="32767"/>
  </cacheFields>
  <cacheHierarchies count="26">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Department]" caption="Department" attribute="1" defaultMemberUniqueName="[staff].[Department].[All]" allUniqueName="[staff].[Department].[All]" dimensionUniqueName="[staff]" displayFolder="" count="2" memberValueDatatype="130" unbalanced="0">
      <fieldsUsage count="2">
        <fieldUsage x="-1"/>
        <fieldUsage x="1"/>
      </fieldsUsage>
    </cacheHierarchy>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Table2].[Name]" caption="Name" attribute="1" defaultMemberUniqueName="[Table2].[Name].[All]" allUniqueName="[Table2].[Name].[All]" dimensionUniqueName="[Table2]" displayFolder="" count="0" memberValueDatatype="130" unbalanced="0"/>
    <cacheHierarchy uniqueName="[Table2].[Gender]" caption="Gender" attribute="1" defaultMemberUniqueName="[Table2].[Gender].[All]" allUniqueName="[Table2].[Gender].[All]" dimensionUniqueName="[Table2]" displayFolder="" count="0" memberValueDatatype="130" unbalanced="0"/>
    <cacheHierarchy uniqueName="[Table2].[Age]" caption="Age" attribute="1" defaultMemberUniqueName="[Table2].[Age].[All]" allUniqueName="[Table2].[Age].[All]" dimensionUniqueName="[Table2]" displayFolder="" count="0" memberValueDatatype="20" unbalanced="0"/>
    <cacheHierarchy uniqueName="[Table2].[Rating]" caption="Rating" attribute="1" defaultMemberUniqueName="[Table2].[Rating].[All]" allUniqueName="[Table2].[Rating].[All]" dimensionUniqueName="[Table2]" displayFolder="" count="0" memberValueDatatype="130" unbalanced="0"/>
    <cacheHierarchy uniqueName="[Table2].[Date Joined]" caption="Date Joined" attribute="1" time="1" defaultMemberUniqueName="[Table2].[Date Joined].[All]" allUniqueName="[Table2].[Date Joined].[All]" dimensionUniqueName="[Table2]" displayFolder="" count="0" memberValueDatatype="7" unbalanced="0"/>
    <cacheHierarchy uniqueName="[Table2].[Department]" caption="Department" attribute="1" defaultMemberUniqueName="[Table2].[Department].[All]" allUniqueName="[Table2].[Department].[All]" dimensionUniqueName="[Table2]" displayFolder="" count="0" memberValueDatatype="130" unbalanced="0"/>
    <cacheHierarchy uniqueName="[Table2].[Salary]" caption="Salary" attribute="1" defaultMemberUniqueName="[Table2].[Salary].[All]" allUniqueName="[Table2].[Salary].[All]" dimensionUniqueName="[Table2]" displayFolder="" count="0" memberValueDatatype="20" unbalanced="0"/>
    <cacheHierarchy uniqueName="[Measures].[Count of Name]" caption="Count of Name" measure="1" displayFolder="" measureGroup="staff" count="0" oneField="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oneField="1">
      <fieldsUsage count="1">
        <fieldUsage x="3"/>
      </fieldsUsage>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extLst>
        <ext xmlns:x15="http://schemas.microsoft.com/office/spreadsheetml/2010/11/main" uri="{B97F6D7D-B522-45F9-BDA1-12C45D357490}">
          <x15:cacheHierarchy aggregatedColumn="8"/>
        </ext>
      </extLst>
    </cacheHierarchy>
    <cacheHierarchy uniqueName="[Measures].[__XL_Count staff]" caption="__XL_Count staff" measure="1" displayFolder="" measureGroup="staff"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ies>
  <kpis count="0"/>
  <dimensions count="3">
    <dimension measure="1" name="Measures" uniqueName="[Measures]" caption="Measures"/>
    <dimension name="staff" uniqueName="[staff]" caption="staff"/>
    <dimension name="Table2" uniqueName="[Table2]" caption="Table2"/>
  </dimensions>
  <measureGroups count="2">
    <measureGroup name="staff" caption="staff"/>
    <measureGroup name="Table2" caption="Table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olo" refreshedDate="45365.829227546295" backgroundQuery="1" createdVersion="7" refreshedVersion="7" minRefreshableVersion="3" recordCount="0" supportSubquery="1" supportAdvancedDrill="1" xr:uid="{5FE4D088-EFAD-4389-98FC-F2AA1461ED70}">
  <cacheSource type="external" connectionId="5"/>
  <cacheFields count="6">
    <cacheField name="[staff].[Gender].[Gender]" caption="Gender" numFmtId="0" hierarchy="1" level="1">
      <sharedItems count="2">
        <s v="Female"/>
        <s v="Male"/>
      </sharedItems>
    </cacheField>
    <cacheField name="[Measures].[Count of Name]" caption="Count of Name" numFmtId="0" hierarchy="16" level="32767"/>
    <cacheField name="[Measures].[Average of Age]" caption="Average of Age" numFmtId="0" hierarchy="18" level="32767"/>
    <cacheField name="[Measures].[Average of Salary]" caption="Average of Salary" numFmtId="0" hierarchy="20" level="32767"/>
    <cacheField name="[Measures].[Average of Tenure]" caption="Average of Tenure" numFmtId="0" hierarchy="22" level="32767"/>
    <cacheField name="[staff].[Country].[Country]" caption="Country" numFmtId="0" hierarchy="7" level="1">
      <sharedItems containsSemiMixedTypes="0" containsNonDate="0" containsString="0"/>
    </cacheField>
  </cacheFields>
  <cacheHierarchies count="26">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Table2].[Name]" caption="Name" attribute="1" defaultMemberUniqueName="[Table2].[Name].[All]" allUniqueName="[Table2].[Name].[All]" dimensionUniqueName="[Table2]" displayFolder="" count="0" memberValueDatatype="130" unbalanced="0"/>
    <cacheHierarchy uniqueName="[Table2].[Gender]" caption="Gender" attribute="1" defaultMemberUniqueName="[Table2].[Gender].[All]" allUniqueName="[Table2].[Gender].[All]" dimensionUniqueName="[Table2]" displayFolder="" count="0" memberValueDatatype="130" unbalanced="0"/>
    <cacheHierarchy uniqueName="[Table2].[Age]" caption="Age" attribute="1" defaultMemberUniqueName="[Table2].[Age].[All]" allUniqueName="[Table2].[Age].[All]" dimensionUniqueName="[Table2]" displayFolder="" count="0" memberValueDatatype="20" unbalanced="0"/>
    <cacheHierarchy uniqueName="[Table2].[Rating]" caption="Rating" attribute="1" defaultMemberUniqueName="[Table2].[Rating].[All]" allUniqueName="[Table2].[Rating].[All]" dimensionUniqueName="[Table2]" displayFolder="" count="0" memberValueDatatype="130" unbalanced="0"/>
    <cacheHierarchy uniqueName="[Table2].[Date Joined]" caption="Date Joined" attribute="1" time="1" defaultMemberUniqueName="[Table2].[Date Joined].[All]" allUniqueName="[Table2].[Date Joined].[All]" dimensionUniqueName="[Table2]" displayFolder="" count="0" memberValueDatatype="7" unbalanced="0"/>
    <cacheHierarchy uniqueName="[Table2].[Department]" caption="Department" attribute="1" defaultMemberUniqueName="[Table2].[Department].[All]" allUniqueName="[Table2].[Department].[All]" dimensionUniqueName="[Table2]" displayFolder="" count="0" memberValueDatatype="130" unbalanced="0"/>
    <cacheHierarchy uniqueName="[Table2].[Salary]" caption="Salary" attribute="1" defaultMemberUniqueName="[Table2].[Salary].[All]" allUniqueName="[Table2].[Salary].[All]" dimensionUniqueName="[Table2]" displayFolder="" count="0" memberValueDatatype="20" unbalanced="0"/>
    <cacheHierarchy uniqueName="[Measures].[Count of Name]" caption="Count of Name" measure="1" displayFolder="" measureGroup="staff" count="0" oneField="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oneField="1">
      <fieldsUsage count="1">
        <fieldUsage x="2"/>
      </fieldsUsage>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oneField="1">
      <fieldsUsage count="1">
        <fieldUsage x="3"/>
      </fieldsUsage>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fieldsUsage count="1">
        <fieldUsage x="4"/>
      </fieldsUsage>
      <extLst>
        <ext xmlns:x15="http://schemas.microsoft.com/office/spreadsheetml/2010/11/main" uri="{B97F6D7D-B522-45F9-BDA1-12C45D357490}">
          <x15:cacheHierarchy aggregatedColumn="8"/>
        </ext>
      </extLst>
    </cacheHierarchy>
    <cacheHierarchy uniqueName="[Measures].[__XL_Count staff]" caption="__XL_Count staff" measure="1" displayFolder="" measureGroup="staff"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ies>
  <kpis count="0"/>
  <dimensions count="3">
    <dimension measure="1" name="Measures" uniqueName="[Measures]" caption="Measures"/>
    <dimension name="staff" uniqueName="[staff]" caption="staff"/>
    <dimension name="Table2" uniqueName="[Table2]" caption="Table2"/>
  </dimensions>
  <measureGroups count="2">
    <measureGroup name="staff" caption="staff"/>
    <measureGroup name="Table2" caption="Table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olo" refreshedDate="45365.879330208336" backgroundQuery="1" createdVersion="7" refreshedVersion="7" minRefreshableVersion="3" recordCount="0" supportSubquery="1" supportAdvancedDrill="1" xr:uid="{25E492BE-78A8-4BB8-9438-EBBEFFACA3D6}">
  <cacheSource type="external" connectionId="5"/>
  <cacheFields count="3">
    <cacheField name="[staff].[Rating].[Rating]" caption="Rating" numFmtId="0" hierarchy="6" level="1">
      <sharedItems count="5">
        <s v="Above average"/>
        <s v="Average"/>
        <s v="Exceptional"/>
        <s v="Poor"/>
        <s v="Very poor"/>
      </sharedItems>
    </cacheField>
    <cacheField name="[Measures].[Count of Name]" caption="Count of Name" numFmtId="0" hierarchy="16" level="32767"/>
    <cacheField name="[Measures].[Average of Salary]" caption="Average of Salary" numFmtId="0" hierarchy="20" level="32767"/>
  </cacheFields>
  <cacheHierarchies count="26">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Table2].[Name]" caption="Name" attribute="1" defaultMemberUniqueName="[Table2].[Name].[All]" allUniqueName="[Table2].[Name].[All]" dimensionUniqueName="[Table2]" displayFolder="" count="0" memberValueDatatype="130" unbalanced="0"/>
    <cacheHierarchy uniqueName="[Table2].[Gender]" caption="Gender" attribute="1" defaultMemberUniqueName="[Table2].[Gender].[All]" allUniqueName="[Table2].[Gender].[All]" dimensionUniqueName="[Table2]" displayFolder="" count="0" memberValueDatatype="130" unbalanced="0"/>
    <cacheHierarchy uniqueName="[Table2].[Age]" caption="Age" attribute="1" defaultMemberUniqueName="[Table2].[Age].[All]" allUniqueName="[Table2].[Age].[All]" dimensionUniqueName="[Table2]" displayFolder="" count="0" memberValueDatatype="20" unbalanced="0"/>
    <cacheHierarchy uniqueName="[Table2].[Rating]" caption="Rating" attribute="1" defaultMemberUniqueName="[Table2].[Rating].[All]" allUniqueName="[Table2].[Rating].[All]" dimensionUniqueName="[Table2]" displayFolder="" count="0" memberValueDatatype="130" unbalanced="0"/>
    <cacheHierarchy uniqueName="[Table2].[Date Joined]" caption="Date Joined" attribute="1" time="1" defaultMemberUniqueName="[Table2].[Date Joined].[All]" allUniqueName="[Table2].[Date Joined].[All]" dimensionUniqueName="[Table2]" displayFolder="" count="0" memberValueDatatype="7" unbalanced="0"/>
    <cacheHierarchy uniqueName="[Table2].[Department]" caption="Department" attribute="1" defaultMemberUniqueName="[Table2].[Department].[All]" allUniqueName="[Table2].[Department].[All]" dimensionUniqueName="[Table2]" displayFolder="" count="0" memberValueDatatype="130" unbalanced="0"/>
    <cacheHierarchy uniqueName="[Table2].[Salary]" caption="Salary" attribute="1" defaultMemberUniqueName="[Table2].[Salary].[All]" allUniqueName="[Table2].[Salary].[All]" dimensionUniqueName="[Table2]" displayFolder="" count="0" memberValueDatatype="20" unbalanced="0"/>
    <cacheHierarchy uniqueName="[Measures].[Count of Name]" caption="Count of Name" measure="1" displayFolder="" measureGroup="staff" count="0" oneField="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oneField="1">
      <fieldsUsage count="1">
        <fieldUsage x="2"/>
      </fieldsUsage>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extLst>
        <ext xmlns:x15="http://schemas.microsoft.com/office/spreadsheetml/2010/11/main" uri="{B97F6D7D-B522-45F9-BDA1-12C45D357490}">
          <x15:cacheHierarchy aggregatedColumn="8"/>
        </ext>
      </extLst>
    </cacheHierarchy>
    <cacheHierarchy uniqueName="[Measures].[__XL_Count staff]" caption="__XL_Count staff" measure="1" displayFolder="" measureGroup="staff"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ies>
  <kpis count="0"/>
  <dimensions count="3">
    <dimension measure="1" name="Measures" uniqueName="[Measures]" caption="Measures"/>
    <dimension name="staff" uniqueName="[staff]" caption="staff"/>
    <dimension name="Table2" uniqueName="[Table2]" caption="Table2"/>
  </dimensions>
  <measureGroups count="2">
    <measureGroup name="staff" caption="staff"/>
    <measureGroup name="Table2" caption="Table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olo" refreshedDate="45366.07420949074" backgroundQuery="1" createdVersion="7" refreshedVersion="7" minRefreshableVersion="3" recordCount="0" supportSubquery="1" supportAdvancedDrill="1" xr:uid="{5972D709-8235-45A4-A367-4C47555109B9}">
  <cacheSource type="external" connectionId="5"/>
  <cacheFields count="3">
    <cacheField name="[Measures].[Count of Name]" caption="Count of Name" numFmtId="0" hierarchy="16" level="32767"/>
    <cacheField name="[staff].[Country].[Country]" caption="Country" numFmtId="0" hierarchy="7" level="1">
      <sharedItems containsSemiMixedTypes="0" containsNonDate="0" containsString="0"/>
    </cacheField>
    <cacheField name="[staff].[Department].[Department]" caption="Department" numFmtId="0" hierarchy="2" level="1">
      <sharedItems count="5">
        <s v="Finance"/>
        <s v="HR"/>
        <s v="Procurement"/>
        <s v="Sales"/>
        <s v="Website"/>
      </sharedItems>
    </cacheField>
  </cacheFields>
  <cacheHierarchies count="26">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2"/>
      </fieldsUsage>
    </cacheHierarchy>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Table2].[Name]" caption="Name" attribute="1" defaultMemberUniqueName="[Table2].[Name].[All]" allUniqueName="[Table2].[Name].[All]" dimensionUniqueName="[Table2]" displayFolder="" count="0" memberValueDatatype="130" unbalanced="0"/>
    <cacheHierarchy uniqueName="[Table2].[Gender]" caption="Gender" attribute="1" defaultMemberUniqueName="[Table2].[Gender].[All]" allUniqueName="[Table2].[Gender].[All]" dimensionUniqueName="[Table2]" displayFolder="" count="0" memberValueDatatype="130" unbalanced="0"/>
    <cacheHierarchy uniqueName="[Table2].[Age]" caption="Age" attribute="1" defaultMemberUniqueName="[Table2].[Age].[All]" allUniqueName="[Table2].[Age].[All]" dimensionUniqueName="[Table2]" displayFolder="" count="0" memberValueDatatype="20" unbalanced="0"/>
    <cacheHierarchy uniqueName="[Table2].[Rating]" caption="Rating" attribute="1" defaultMemberUniqueName="[Table2].[Rating].[All]" allUniqueName="[Table2].[Rating].[All]" dimensionUniqueName="[Table2]" displayFolder="" count="0" memberValueDatatype="130" unbalanced="0"/>
    <cacheHierarchy uniqueName="[Table2].[Date Joined]" caption="Date Joined" attribute="1" time="1" defaultMemberUniqueName="[Table2].[Date Joined].[All]" allUniqueName="[Table2].[Date Joined].[All]" dimensionUniqueName="[Table2]" displayFolder="" count="0" memberValueDatatype="7" unbalanced="0"/>
    <cacheHierarchy uniqueName="[Table2].[Department]" caption="Department" attribute="1" defaultMemberUniqueName="[Table2].[Department].[All]" allUniqueName="[Table2].[Department].[All]" dimensionUniqueName="[Table2]" displayFolder="" count="2" memberValueDatatype="130" unbalanced="0"/>
    <cacheHierarchy uniqueName="[Table2].[Salary]" caption="Salary" attribute="1" defaultMemberUniqueName="[Table2].[Salary].[All]" allUniqueName="[Table2].[Salary].[All]" dimensionUniqueName="[Table2]" displayFolder="" count="0" memberValueDatatype="20" unbalanced="0"/>
    <cacheHierarchy uniqueName="[Measures].[Count of Name]" caption="Count of Name" measure="1" displayFolder="" measureGroup="staff" count="0" oneField="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extLst>
        <ext xmlns:x15="http://schemas.microsoft.com/office/spreadsheetml/2010/11/main" uri="{B97F6D7D-B522-45F9-BDA1-12C45D357490}">
          <x15:cacheHierarchy aggregatedColumn="8"/>
        </ext>
      </extLst>
    </cacheHierarchy>
    <cacheHierarchy uniqueName="[Measures].[__XL_Count staff]" caption="__XL_Count staff" measure="1" displayFolder="" measureGroup="staff"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ies>
  <kpis count="0"/>
  <dimensions count="3">
    <dimension measure="1" name="Measures" uniqueName="[Measures]" caption="Measures"/>
    <dimension name="staff" uniqueName="[staff]" caption="staff"/>
    <dimension name="Table2" uniqueName="[Table2]" caption="Table2"/>
  </dimensions>
  <measureGroups count="2">
    <measureGroup name="staff" caption="staff"/>
    <measureGroup name="Table2" caption="Table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olo" refreshedDate="45366.074245601849" backgroundQuery="1" createdVersion="7" refreshedVersion="7" minRefreshableVersion="3" recordCount="0" supportSubquery="1" supportAdvancedDrill="1" xr:uid="{CC81B503-E6E4-4244-B336-3FFC95E887F6}">
  <cacheSource type="external" connectionId="5"/>
  <cacheFields count="3">
    <cacheField name="[staff].[Department].[Department]" caption="Department" numFmtId="0" hierarchy="2" level="1">
      <sharedItems count="5">
        <s v="Finance"/>
        <s v="HR"/>
        <s v="Procurement"/>
        <s v="Sales"/>
        <s v="Website"/>
      </sharedItems>
    </cacheField>
    <cacheField name="[Measures].[Count of Name]" caption="Count of Name" numFmtId="0" hierarchy="16" level="32767"/>
    <cacheField name="[staff].[Country].[Country]" caption="Country" numFmtId="0" hierarchy="7" level="1">
      <sharedItems containsSemiMixedTypes="0" containsNonDate="0" containsString="0"/>
    </cacheField>
  </cacheFields>
  <cacheHierarchies count="26">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Table2].[Name]" caption="Name" attribute="1" defaultMemberUniqueName="[Table2].[Name].[All]" allUniqueName="[Table2].[Name].[All]" dimensionUniqueName="[Table2]" displayFolder="" count="0" memberValueDatatype="130" unbalanced="0"/>
    <cacheHierarchy uniqueName="[Table2].[Gender]" caption="Gender" attribute="1" defaultMemberUniqueName="[Table2].[Gender].[All]" allUniqueName="[Table2].[Gender].[All]" dimensionUniqueName="[Table2]" displayFolder="" count="0" memberValueDatatype="130" unbalanced="0"/>
    <cacheHierarchy uniqueName="[Table2].[Age]" caption="Age" attribute="1" defaultMemberUniqueName="[Table2].[Age].[All]" allUniqueName="[Table2].[Age].[All]" dimensionUniqueName="[Table2]" displayFolder="" count="0" memberValueDatatype="20" unbalanced="0"/>
    <cacheHierarchy uniqueName="[Table2].[Rating]" caption="Rating" attribute="1" defaultMemberUniqueName="[Table2].[Rating].[All]" allUniqueName="[Table2].[Rating].[All]" dimensionUniqueName="[Table2]" displayFolder="" count="0" memberValueDatatype="130" unbalanced="0"/>
    <cacheHierarchy uniqueName="[Table2].[Date Joined]" caption="Date Joined" attribute="1" time="1" defaultMemberUniqueName="[Table2].[Date Joined].[All]" allUniqueName="[Table2].[Date Joined].[All]" dimensionUniqueName="[Table2]" displayFolder="" count="0" memberValueDatatype="7" unbalanced="0"/>
    <cacheHierarchy uniqueName="[Table2].[Department]" caption="Department" attribute="1" defaultMemberUniqueName="[Table2].[Department].[All]" allUniqueName="[Table2].[Department].[All]" dimensionUniqueName="[Table2]" displayFolder="" count="0" memberValueDatatype="130" unbalanced="0"/>
    <cacheHierarchy uniqueName="[Table2].[Salary]" caption="Salary" attribute="1" defaultMemberUniqueName="[Table2].[Salary].[All]" allUniqueName="[Table2].[Salary].[All]" dimensionUniqueName="[Table2]" displayFolder="" count="0" memberValueDatatype="20" unbalanced="0"/>
    <cacheHierarchy uniqueName="[Measures].[Count of Name]" caption="Count of Name" measure="1" displayFolder="" measureGroup="staff" count="0" oneField="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extLst>
        <ext xmlns:x15="http://schemas.microsoft.com/office/spreadsheetml/2010/11/main" uri="{B97F6D7D-B522-45F9-BDA1-12C45D357490}">
          <x15:cacheHierarchy aggregatedColumn="8"/>
        </ext>
      </extLst>
    </cacheHierarchy>
    <cacheHierarchy uniqueName="[Measures].[__XL_Count staff]" caption="__XL_Count staff" measure="1" displayFolder="" measureGroup="staff"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ies>
  <kpis count="0"/>
  <dimensions count="3">
    <dimension measure="1" name="Measures" uniqueName="[Measures]" caption="Measures"/>
    <dimension name="staff" uniqueName="[staff]" caption="staff"/>
    <dimension name="Table2" uniqueName="[Table2]" caption="Table2"/>
  </dimensions>
  <measureGroups count="2">
    <measureGroup name="staff" caption="staff"/>
    <measureGroup name="Table2" caption="Table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olo" refreshedDate="45365.82922673611" backgroundQuery="1" createdVersion="3" refreshedVersion="7" minRefreshableVersion="3" recordCount="0" supportSubquery="1" supportAdvancedDrill="1" xr:uid="{BF6BF804-B759-4195-BFF1-B0EB67340DF2}">
  <cacheSource type="external" connectionId="5">
    <extLst>
      <ext xmlns:x14="http://schemas.microsoft.com/office/spreadsheetml/2009/9/main" uri="{F057638F-6D5F-4e77-A914-E7F072B9BCA8}">
        <x14:sourceConnection name="ThisWorkbookDataModel"/>
      </ext>
    </extLst>
  </cacheSource>
  <cacheFields count="0"/>
  <cacheHierarchies count="26">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Table2].[Name]" caption="Name" attribute="1" defaultMemberUniqueName="[Table2].[Name].[All]" allUniqueName="[Table2].[Name].[All]" dimensionUniqueName="[Table2]" displayFolder="" count="0" memberValueDatatype="130" unbalanced="0"/>
    <cacheHierarchy uniqueName="[Table2].[Gender]" caption="Gender" attribute="1" defaultMemberUniqueName="[Table2].[Gender].[All]" allUniqueName="[Table2].[Gender].[All]" dimensionUniqueName="[Table2]" displayFolder="" count="0" memberValueDatatype="130" unbalanced="0"/>
    <cacheHierarchy uniqueName="[Table2].[Age]" caption="Age" attribute="1" defaultMemberUniqueName="[Table2].[Age].[All]" allUniqueName="[Table2].[Age].[All]" dimensionUniqueName="[Table2]" displayFolder="" count="0" memberValueDatatype="20" unbalanced="0"/>
    <cacheHierarchy uniqueName="[Table2].[Rating]" caption="Rating" attribute="1" defaultMemberUniqueName="[Table2].[Rating].[All]" allUniqueName="[Table2].[Rating].[All]" dimensionUniqueName="[Table2]" displayFolder="" count="0" memberValueDatatype="130" unbalanced="0"/>
    <cacheHierarchy uniqueName="[Table2].[Date Joined]" caption="Date Joined" attribute="1" time="1" defaultMemberUniqueName="[Table2].[Date Joined].[All]" allUniqueName="[Table2].[Date Joined].[All]" dimensionUniqueName="[Table2]" displayFolder="" count="0" memberValueDatatype="7" unbalanced="0"/>
    <cacheHierarchy uniqueName="[Table2].[Department]" caption="Department" attribute="1" defaultMemberUniqueName="[Table2].[Department].[All]" allUniqueName="[Table2].[Department].[All]" dimensionUniqueName="[Table2]" displayFolder="" count="0" memberValueDatatype="130" unbalanced="0"/>
    <cacheHierarchy uniqueName="[Table2].[Salary]" caption="Salary" attribute="1" defaultMemberUniqueName="[Table2].[Salary].[All]" allUniqueName="[Table2].[Salary].[All]" dimensionUniqueName="[Table2]" displayFolder="" count="0" memberValueDatatype="20" unbalanced="0"/>
    <cacheHierarchy uniqueName="[Measures].[Count of Name]" caption="Count of Name" measure="1" displayFolder="" measureGroup="staff" count="0">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extLst>
        <ext xmlns:x15="http://schemas.microsoft.com/office/spreadsheetml/2010/11/main" uri="{B97F6D7D-B522-45F9-BDA1-12C45D357490}">
          <x15:cacheHierarchy aggregatedColumn="8"/>
        </ext>
      </extLst>
    </cacheHierarchy>
    <cacheHierarchy uniqueName="[Measures].[__XL_Count staff]" caption="__XL_Count staff" measure="1" displayFolder="" measureGroup="staff"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ies>
  <kpis count="0"/>
  <dimensions count="3">
    <dimension measure="1" name="Measures" uniqueName="[Measures]" caption="Measures"/>
    <dimension name="staff" uniqueName="[staff]" caption="staff"/>
    <dimension name="Table2" uniqueName="[Table2]" caption="Table2"/>
  </dimensions>
  <measureGroups count="2">
    <measureGroup name="staff" caption="staff"/>
    <measureGroup name="Table2" caption="Table2"/>
  </measureGroups>
  <maps count="2">
    <map measureGroup="0" dimension="1"/>
    <map measureGroup="1" dimension="2"/>
  </maps>
  <extLst>
    <ext xmlns:x14="http://schemas.microsoft.com/office/spreadsheetml/2009/9/main" uri="{725AE2AE-9491-48be-B2B4-4EB974FC3084}">
      <x14:pivotCacheDefinition slicerData="1" pivotCacheId="2142863818"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olo" refreshedDate="45366.07327685185" backgroundQuery="1" createdVersion="3" refreshedVersion="7" minRefreshableVersion="3" recordCount="0" supportSubquery="1" supportAdvancedDrill="1" xr:uid="{818812EB-1F1B-4EDF-A9C7-BF8A03BE6EFE}">
  <cacheSource type="external" connectionId="5">
    <extLst>
      <ext xmlns:x14="http://schemas.microsoft.com/office/spreadsheetml/2009/9/main" uri="{F057638F-6D5F-4e77-A914-E7F072B9BCA8}">
        <x14:sourceConnection name="ThisWorkbookDataModel"/>
      </ext>
    </extLst>
  </cacheSource>
  <cacheFields count="0"/>
  <cacheHierarchies count="26">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Table2].[Name]" caption="Name" attribute="1" defaultMemberUniqueName="[Table2].[Name].[All]" allUniqueName="[Table2].[Name].[All]" dimensionUniqueName="[Table2]" displayFolder="" count="0" memberValueDatatype="130" unbalanced="0"/>
    <cacheHierarchy uniqueName="[Table2].[Gender]" caption="Gender" attribute="1" defaultMemberUniqueName="[Table2].[Gender].[All]" allUniqueName="[Table2].[Gender].[All]" dimensionUniqueName="[Table2]" displayFolder="" count="0" memberValueDatatype="130" unbalanced="0"/>
    <cacheHierarchy uniqueName="[Table2].[Age]" caption="Age" attribute="1" defaultMemberUniqueName="[Table2].[Age].[All]" allUniqueName="[Table2].[Age].[All]" dimensionUniqueName="[Table2]" displayFolder="" count="0" memberValueDatatype="20" unbalanced="0"/>
    <cacheHierarchy uniqueName="[Table2].[Rating]" caption="Rating" attribute="1" defaultMemberUniqueName="[Table2].[Rating].[All]" allUniqueName="[Table2].[Rating].[All]" dimensionUniqueName="[Table2]" displayFolder="" count="0" memberValueDatatype="130" unbalanced="0"/>
    <cacheHierarchy uniqueName="[Table2].[Date Joined]" caption="Date Joined" attribute="1" time="1" defaultMemberUniqueName="[Table2].[Date Joined].[All]" allUniqueName="[Table2].[Date Joined].[All]" dimensionUniqueName="[Table2]" displayFolder="" count="0" memberValueDatatype="7" unbalanced="0"/>
    <cacheHierarchy uniqueName="[Table2].[Department]" caption="Department" attribute="1" defaultMemberUniqueName="[Table2].[Department].[All]" allUniqueName="[Table2].[Department].[All]" dimensionUniqueName="[Table2]" displayFolder="" count="0" memberValueDatatype="130" unbalanced="0"/>
    <cacheHierarchy uniqueName="[Table2].[Salary]" caption="Salary" attribute="1" defaultMemberUniqueName="[Table2].[Salary].[All]" allUniqueName="[Table2].[Salary].[All]" dimensionUniqueName="[Table2]" displayFolder="" count="0" memberValueDatatype="20" unbalanced="0"/>
    <cacheHierarchy uniqueName="[Measures].[Count of Name]" caption="Count of Name" measure="1" displayFolder="" measureGroup="staff" count="0">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extLst>
        <ext xmlns:x15="http://schemas.microsoft.com/office/spreadsheetml/2010/11/main" uri="{B97F6D7D-B522-45F9-BDA1-12C45D357490}">
          <x15:cacheHierarchy aggregatedColumn="8"/>
        </ext>
      </extLst>
    </cacheHierarchy>
    <cacheHierarchy uniqueName="[Measures].[__XL_Count staff]" caption="__XL_Count staff" measure="1" displayFolder="" measureGroup="staff"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48402605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65EC6D2-13CC-413F-B885-F9E3B9639E15}" name="PivotTable4" cacheId="397" dataOnRows="1"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11:G20" firstHeaderRow="1" firstDataRow="2" firstDataCol="1"/>
  <pivotFields count="4">
    <pivotField axis="axisRow" allDrilled="1" subtotalTop="0" showAll="0" dataSourceSort="1" defaultSubtotal="0" defaultAttributeDrillState="1">
      <items count="2">
        <item s="1" x="0"/>
        <item s="1" x="1"/>
      </items>
    </pivotField>
    <pivotField axis="axisCol"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2">
    <field x="0"/>
    <field x="-2"/>
  </rowFields>
  <rowItems count="8">
    <i>
      <x/>
    </i>
    <i r="1">
      <x/>
    </i>
    <i r="1" i="1">
      <x v="1"/>
    </i>
    <i>
      <x v="1"/>
    </i>
    <i r="1">
      <x/>
    </i>
    <i r="1" i="1">
      <x v="1"/>
    </i>
    <i t="grand">
      <x/>
    </i>
    <i t="grand" i="1">
      <x/>
    </i>
  </rowItems>
  <colFields count="1">
    <field x="1"/>
  </colFields>
  <colItems count="6">
    <i>
      <x/>
    </i>
    <i>
      <x v="1"/>
    </i>
    <i>
      <x v="2"/>
    </i>
    <i>
      <x v="3"/>
    </i>
    <i>
      <x v="4"/>
    </i>
    <i t="grand">
      <x/>
    </i>
  </colItems>
  <dataFields count="2">
    <dataField name="Count of Name" fld="2" subtotal="count" baseField="0" baseItem="0"/>
    <dataField name="Average of Salary" fld="3" subtotal="average" baseField="0" baseItem="0"/>
  </dataFields>
  <formats count="11">
    <format dxfId="24">
      <pivotArea collapsedLevelsAreSubtotals="1" fieldPosition="0">
        <references count="3">
          <reference field="4294967294" count="1">
            <x v="1"/>
          </reference>
          <reference field="0" count="1" selected="0">
            <x v="0"/>
          </reference>
          <reference field="1" count="1" selected="0">
            <x v="0"/>
          </reference>
        </references>
      </pivotArea>
    </format>
    <format dxfId="23">
      <pivotArea collapsedLevelsAreSubtotals="1" fieldPosition="0">
        <references count="3">
          <reference field="4294967294" count="1">
            <x v="1"/>
          </reference>
          <reference field="0" count="1" selected="0">
            <x v="0"/>
          </reference>
          <reference field="1" count="1" selected="0">
            <x v="4"/>
          </reference>
        </references>
      </pivotArea>
    </format>
    <format dxfId="22">
      <pivotArea field="0" grandCol="1" collapsedLevelsAreSubtotals="1" axis="axisRow" fieldPosition="0">
        <references count="2">
          <reference field="4294967294" count="1">
            <x v="1"/>
          </reference>
          <reference field="0" count="1" selected="0">
            <x v="0"/>
          </reference>
        </references>
      </pivotArea>
    </format>
    <format dxfId="21">
      <pivotArea field="0" grandCol="1" collapsedLevelsAreSubtotals="1" axis="axisRow" fieldPosition="0">
        <references count="2">
          <reference field="4294967294" count="1">
            <x v="1"/>
          </reference>
          <reference field="0" count="1" selected="0">
            <x v="1"/>
          </reference>
        </references>
      </pivotArea>
    </format>
    <format dxfId="20">
      <pivotArea collapsedLevelsAreSubtotals="1" fieldPosition="0">
        <references count="3">
          <reference field="4294967294" count="1">
            <x v="1"/>
          </reference>
          <reference field="0" count="1" selected="0">
            <x v="1"/>
          </reference>
          <reference field="1" count="1" selected="0">
            <x v="4"/>
          </reference>
        </references>
      </pivotArea>
    </format>
    <format dxfId="19">
      <pivotArea collapsedLevelsAreSubtotals="1" fieldPosition="0">
        <references count="3">
          <reference field="4294967294" count="1">
            <x v="1"/>
          </reference>
          <reference field="0" count="1" selected="0">
            <x v="1"/>
          </reference>
          <reference field="1" count="1" selected="0">
            <x v="3"/>
          </reference>
        </references>
      </pivotArea>
    </format>
    <format dxfId="18">
      <pivotArea collapsedLevelsAreSubtotals="1" fieldPosition="0">
        <references count="3">
          <reference field="4294967294" count="1">
            <x v="1"/>
          </reference>
          <reference field="0" count="1" selected="0">
            <x v="1"/>
          </reference>
          <reference field="1" count="1" selected="0">
            <x v="0"/>
          </reference>
        </references>
      </pivotArea>
    </format>
    <format dxfId="17">
      <pivotArea grandRow="1" grandCol="1" outline="0" collapsedLevelsAreSubtotals="1" fieldPosition="0">
        <references count="1">
          <reference field="4294967294" count="1" selected="0">
            <x v="1"/>
          </reference>
        </references>
      </pivotArea>
    </format>
    <format dxfId="16">
      <pivotArea field="1" grandRow="1" outline="0" collapsedLevelsAreSubtotals="1" axis="axisCol" fieldPosition="0">
        <references count="2">
          <reference field="4294967294" count="1" selected="0">
            <x v="1"/>
          </reference>
          <reference field="1" count="1" selected="0">
            <x v="4"/>
          </reference>
        </references>
      </pivotArea>
    </format>
    <format dxfId="15">
      <pivotArea field="1" grandRow="1" outline="0" collapsedLevelsAreSubtotals="1" axis="axisCol" fieldPosition="0">
        <references count="2">
          <reference field="4294967294" count="1" selected="0">
            <x v="1"/>
          </reference>
          <reference field="1" count="1" selected="0">
            <x v="3"/>
          </reference>
        </references>
      </pivotArea>
    </format>
    <format dxfId="14">
      <pivotArea field="1" grandRow="1" outline="0" collapsedLevelsAreSubtotals="1" axis="axisCol" fieldPosition="0">
        <references count="2">
          <reference field="4294967294" count="1" selected="0">
            <x v="1"/>
          </reference>
          <reference field="1" count="1" selected="0">
            <x v="0"/>
          </reference>
        </references>
      </pivotArea>
    </format>
  </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A4DAEE-3C32-4E77-B4C9-41BCE60D1C69}" name="PivotTable3" cacheId="398" dataOnRows="1"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outline="1" outlineData="1" multipleFieldFilters="0">
  <location ref="A3:C8"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dataField name="Average of Salary" fld="3" subtotal="average" baseField="0" baseItem="0"/>
    <dataField name="Average of Tenure" fld="4" subtotal="average" baseField="0" baseItem="0"/>
  </dataFields>
  <formats count="5">
    <format dxfId="9">
      <pivotArea outline="0" collapsedLevelsAreSubtotals="1" fieldPosition="0">
        <references count="2">
          <reference field="4294967294" count="1" selected="0">
            <x v="1"/>
          </reference>
          <reference field="0" count="1" selected="0">
            <x v="0"/>
          </reference>
        </references>
      </pivotArea>
    </format>
    <format dxfId="10">
      <pivotArea outline="0" collapsedLevelsAreSubtotals="1" fieldPosition="0">
        <references count="2">
          <reference field="4294967294" count="1" selected="0">
            <x v="1"/>
          </reference>
          <reference field="0" count="1" selected="0">
            <x v="1"/>
          </reference>
        </references>
      </pivotArea>
    </format>
    <format dxfId="11">
      <pivotArea field="0" grandCol="1" outline="0" collapsedLevelsAreSubtotals="1" axis="axisCol" fieldPosition="0">
        <references count="1">
          <reference field="4294967294" count="1" selected="0">
            <x v="1"/>
          </reference>
        </references>
      </pivotArea>
    </format>
    <format dxfId="12">
      <pivotArea collapsedLevelsAreSubtotals="1" fieldPosition="0">
        <references count="1">
          <reference field="4294967294" count="1">
            <x v="2"/>
          </reference>
        </references>
      </pivotArea>
    </format>
    <format dxfId="13">
      <pivotArea collapsedLevelsAreSubtotals="1" fieldPosition="0">
        <references count="1">
          <reference field="4294967294" count="1">
            <x v="3"/>
          </reference>
        </references>
      </pivotArea>
    </format>
  </formats>
  <pivotHierarchies count="26">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NZ]"/>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F2F15D-1764-4301-9729-D0E63BA96DEB}" name="PivotTable9" cacheId="39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4:D10" firstHeaderRow="0" firstDataRow="1" firstDataCol="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1"/>
            </reference>
          </references>
        </pivotArea>
      </autoSortScope>
    </pivotField>
    <pivotField dataField="1" subtotalTop="0" showAll="0" defaultSubtotal="0"/>
    <pivotField dataField="1" subtotalTop="0" showAll="0" defaultSubtotal="0"/>
  </pivotFields>
  <rowFields count="1">
    <field x="0"/>
  </rowFields>
  <rowItems count="6">
    <i>
      <x v="2"/>
    </i>
    <i>
      <x v="3"/>
    </i>
    <i>
      <x v="4"/>
    </i>
    <i>
      <x v="1"/>
    </i>
    <i>
      <x/>
    </i>
    <i t="grand">
      <x/>
    </i>
  </rowItems>
  <colFields count="1">
    <field x="-2"/>
  </colFields>
  <colItems count="2">
    <i>
      <x/>
    </i>
    <i i="1">
      <x v="1"/>
    </i>
  </colItems>
  <dataFields count="2">
    <dataField name="Count of Name" fld="1" subtotal="count" baseField="0" baseItem="0"/>
    <dataField name="Average of Salary" fld="2" subtotal="average" baseField="0" baseItem="0" numFmtId="172"/>
  </dataFields>
  <formats count="1">
    <format dxfId="3">
      <pivotArea outline="0" collapsedLevelsAreSubtotals="1" fieldPosition="0">
        <references count="1">
          <reference field="4294967294" count="1" selected="0">
            <x v="1"/>
          </reference>
        </references>
      </pivotArea>
    </format>
  </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69FC0DE-CE58-4F70-971B-6D60E19F6A0B}" name="PivotTable11" cacheId="47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B13:C19" firstHeaderRow="1" firstDataRow="1" firstDataCol="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6">
    <i>
      <x v="2"/>
    </i>
    <i>
      <x v="4"/>
    </i>
    <i>
      <x/>
    </i>
    <i>
      <x v="3"/>
    </i>
    <i>
      <x v="1"/>
    </i>
    <i t="grand">
      <x/>
    </i>
  </rowItems>
  <colItems count="1">
    <i/>
  </colItems>
  <dataFields count="1">
    <dataField name="Count of Name" fld="1" subtotal="count" baseField="0"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IND]"/>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81BEC4A-BCE9-4199-ADB0-7D2C85DED481}" name="PivotTable10" cacheId="471"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7">
  <location ref="B3:C9" firstHeaderRow="1" firstDataRow="1" firstDataCol="1"/>
  <pivotFields count="3">
    <pivotField dataField="1" subtotalTop="0" showAll="0" defaultSubtotal="0"/>
    <pivotField allDrilled="1" subtotalTop="0" showAll="0" dataSourceSort="1" defaultSubtotal="0" defaultAttributeDrillState="1"/>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s>
  <rowFields count="1">
    <field x="2"/>
  </rowFields>
  <rowItems count="6">
    <i>
      <x v="2"/>
    </i>
    <i>
      <x v="4"/>
    </i>
    <i>
      <x/>
    </i>
    <i>
      <x v="3"/>
    </i>
    <i>
      <x v="1"/>
    </i>
    <i t="grand">
      <x/>
    </i>
  </rowItems>
  <colItems count="1">
    <i/>
  </colItems>
  <dataFields count="1">
    <dataField name="Count of Name" fld="0" subtotal="count" baseField="0" baseItem="0"/>
  </dataFields>
  <chartFormats count="2">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NZ]"/>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181D934-3228-4359-86AB-F7A6EE670114}" autoFormatId="16" applyNumberFormats="0" applyBorderFormats="0" applyFontFormats="0" applyPatternFormats="0" applyAlignmentFormats="0" applyWidthHeightFormats="0">
  <queryTableRefresh nextId="13" unboundColumnsRight="3">
    <queryTableFields count="11">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8" name="Country" tableColumnId="8"/>
      <queryTableField id="9" dataBound="0" tableColumnId="9"/>
      <queryTableField id="10" dataBound="0" tableColumnId="10"/>
      <queryTableField id="12" dataBound="0"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2D76B5B3-F314-4ED7-A863-36F21F15247D}" sourceName="[staff].[Country]">
  <pivotTables>
    <pivotTable tabId="11" name="PivotTable3"/>
  </pivotTables>
  <data>
    <olap pivotCacheId="2142863818">
      <levels count="2">
        <level uniqueName="[staff].[Country].[(All)]" sourceCaption="(All)" count="0"/>
        <level uniqueName="[staff].[Country].[Country]" sourceCaption="Country" count="2">
          <ranges>
            <range startItem="0">
              <i n="[staff].[Country].&amp;[IND]" c="IND"/>
              <i n="[staff].[Country].&amp;[NZ]" c="NZ"/>
            </range>
          </ranges>
        </level>
      </levels>
      <selections count="1">
        <selection n="[staff].[Country].&amp;[NZ]"/>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4B9322E2-80B3-46F2-89F6-B7BFBAA704DB}" sourceName="[staff].[Country]">
  <pivotTables>
    <pivotTable tabId="18" name="PivotTable10"/>
  </pivotTables>
  <data>
    <olap pivotCacheId="484026051">
      <levels count="2">
        <level uniqueName="[staff].[Country].[(All)]" sourceCaption="(All)" count="0"/>
        <level uniqueName="[staff].[Country].[Country]" sourceCaption="Country" count="2">
          <ranges>
            <range startItem="0">
              <i n="[staff].[Country].&amp;[IND]" c="IND"/>
              <i n="[staff].[Country].&amp;[NZ]" c="NZ"/>
            </range>
          </ranges>
        </level>
      </levels>
      <selections count="1">
        <selection n="[staff].[Country].&amp;[NZ]"/>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2" xr10:uid="{E0F3763E-819F-4058-AAC4-D239E886E446}" sourceName="[staff].[Country]">
  <pivotTables>
    <pivotTable tabId="18" name="PivotTable11"/>
  </pivotTables>
  <data>
    <olap pivotCacheId="484026051">
      <levels count="2">
        <level uniqueName="[staff].[Country].[(All)]" sourceCaption="(All)" count="0"/>
        <level uniqueName="[staff].[Country].[Country]" sourceCaption="Country" count="2">
          <ranges>
            <range startItem="0">
              <i n="[staff].[Country].&amp;[IND]" c="IND"/>
              <i n="[staff].[Country].&amp;[NZ]" c="NZ"/>
            </range>
          </ranges>
        </level>
      </levels>
      <selections count="1">
        <selection n="[staff].[Country].&amp;[IND]"/>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57680864-F620-4679-82A9-031D9416E4D1}" cache="Slicer_Country" caption="Country"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77FC24B9-9186-4CAB-A6D8-2573C5A20715}" cache="Slicer_Country1" caption="Country" level="1" rowHeight="241300"/>
  <slicer name="Country 2" xr10:uid="{21E025F8-9975-4398-A4D5-C474E4C655D5}" cache="Slicer_Country2" caption="Country"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AD70A5-6AAB-4944-87A9-6ACC711FB96F}" name="Table1" displayName="Table1" ref="A1:G102" totalsRowCount="1">
  <autoFilter ref="A1:G101" xr:uid="{21AD70A5-6AAB-4944-87A9-6ACC711FB96F}"/>
  <tableColumns count="7">
    <tableColumn id="1" xr3:uid="{54F6EDBA-18EA-4278-98C2-DB28DFE72FB1}" name="Name" totalsRowLabel="Total"/>
    <tableColumn id="2" xr3:uid="{6E5FBF08-BE6F-4809-941A-63452655E7E2}" name="Gender"/>
    <tableColumn id="3" xr3:uid="{B4A006F5-AF12-42C3-938B-2C75A8ABD433}" name="Department"/>
    <tableColumn id="4" xr3:uid="{B6AE7D8B-D0C4-4284-8AF1-90DA1551D3B3}" name="Age" totalsRowFunction="average"/>
    <tableColumn id="5" xr3:uid="{EFD3AA67-5727-45D6-B74C-8041D821F9C9}" name="Date Joined" dataDxfId="27" totalsRowCellStyle="Currency"/>
    <tableColumn id="6" xr3:uid="{6BD41D8F-4B25-4005-AD10-84EC383BDDB0}" name="Salary" totalsRowFunction="average" dataDxfId="26" dataCellStyle="Currency" totalsRowCellStyle="Currency"/>
    <tableColumn id="7" xr3:uid="{48379F49-E67D-4121-880B-8036AB1D1969}"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489CFA-DFEF-4D22-8D45-7BE4737C15AF}" name="Table2" displayName="Table2" ref="A1:G113" totalsRowShown="0">
  <autoFilter ref="A1:G113" xr:uid="{E5489CFA-DFEF-4D22-8D45-7BE4737C15AF}"/>
  <tableColumns count="7">
    <tableColumn id="1" xr3:uid="{B12B9BB9-F1E2-41EC-8575-7F0368853061}" name="Name"/>
    <tableColumn id="2" xr3:uid="{BBE803BC-BD19-45DF-9DC2-223724F9D55C}" name="Gender"/>
    <tableColumn id="3" xr3:uid="{5EB4DA37-9A09-4E15-8C22-4521AFE6745B}" name="Age"/>
    <tableColumn id="4" xr3:uid="{0C936E1D-C19E-4374-884C-D46A989A8A8A}" name="Rating"/>
    <tableColumn id="5" xr3:uid="{B8D2AE04-EFEE-4F50-942F-5A395D684F92}" name="Date Joined" dataDxfId="25"/>
    <tableColumn id="6" xr3:uid="{C71F6FBB-7438-49A1-83FB-B59962DBE9A9}" name="Department"/>
    <tableColumn id="7" xr3:uid="{2296E1AD-0DAE-4809-B9EE-4761B150AD76}" name="Salary"/>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83A7241-652D-4515-95B8-886A02D41C19}" name="staff" displayName="staff" ref="A1:K183" tableType="queryTable" totalsRowShown="0">
  <autoFilter ref="A1:K183" xr:uid="{083A7241-652D-4515-95B8-886A02D41C19}">
    <filterColumn colId="7">
      <filters>
        <filter val="IND"/>
      </filters>
    </filterColumn>
  </autoFilter>
  <sortState xmlns:xlrd2="http://schemas.microsoft.com/office/spreadsheetml/2017/richdata2" ref="A2:J183">
    <sortCondition ref="F1:F183"/>
  </sortState>
  <tableColumns count="11">
    <tableColumn id="1" xr3:uid="{1123244F-2B4F-482F-A716-B5491ADFBF26}" uniqueName="1" name="Name" queryTableFieldId="1" dataDxfId="8"/>
    <tableColumn id="2" xr3:uid="{9FE052FD-0D7E-4140-8211-5FC899E4321B}" uniqueName="2" name="Gender" queryTableFieldId="2" dataDxfId="7"/>
    <tableColumn id="3" xr3:uid="{C177412D-ED7A-4900-84B0-B9AB4514CF6C}" uniqueName="3" name="Department" queryTableFieldId="3" dataDxfId="6"/>
    <tableColumn id="4" xr3:uid="{0F95019F-1E40-4D60-B2E5-9634C5B84614}" uniqueName="4" name="Age" queryTableFieldId="4"/>
    <tableColumn id="5" xr3:uid="{5C0D58F1-7C99-4BEA-B40C-52638308117F}" uniqueName="5" name="Date Joined" queryTableFieldId="5" dataDxfId="5"/>
    <tableColumn id="6" xr3:uid="{574DC873-CA38-488D-B5AC-C7128350C05C}" uniqueName="6" name="Salary" queryTableFieldId="6" dataDxfId="4" dataCellStyle="Currency"/>
    <tableColumn id="7" xr3:uid="{A70C5408-66BB-4205-B83A-91BCB535FFAF}" uniqueName="7" name="Rating" queryTableFieldId="7"/>
    <tableColumn id="8" xr3:uid="{BAEF4D37-CC92-4C2F-9A58-608E9CFCC4A0}" uniqueName="8" name="Country" queryTableFieldId="8"/>
    <tableColumn id="9" xr3:uid="{970C9B00-5ECA-4225-92BA-372BBDC4A6F5}" uniqueName="9" name="Tenure" queryTableFieldId="9">
      <calculatedColumnFormula>(TODAY()-staff[[#This Row],[Date Joined]])/365</calculatedColumnFormula>
    </tableColumn>
    <tableColumn id="10" xr3:uid="{95DCA575-6F42-446C-AE32-64449D0B7ED2}" uniqueName="10" name="BONUS " queryTableFieldId="10" dataDxfId="2">
      <calculatedColumnFormula>ROUNDUP(IF(staff[[#This Row],[Tenure]]&gt;2,3%,2%)*staff[[#This Row],[Salary]],0)</calculatedColumnFormula>
    </tableColumn>
    <tableColumn id="12" xr3:uid="{A370BCA6-3D33-403C-8C25-FE37E7D69FE6}" uniqueName="12" name="RATING_LABELS" queryTableFieldId="12" dataDxfId="1">
      <calculatedColumnFormula>_xlfn.XLOOKUP(staff[[#This Row],[Rating]],$P$34:$P$38,$O$34:$O$38)</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microsoft.com/office/2007/relationships/slicer" Target="../slicers/slicer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5"/>
  <sheetViews>
    <sheetView showGridLines="0" topLeftCell="A10" zoomScale="160" zoomScaleNormal="160" workbookViewId="0">
      <selection activeCell="C15" sqref="C15"/>
    </sheetView>
  </sheetViews>
  <sheetFormatPr defaultRowHeight="15" x14ac:dyDescent="0.25"/>
  <cols>
    <col min="1" max="1" width="1.7109375" customWidth="1"/>
    <col min="2" max="2" width="3.7109375" customWidth="1"/>
    <col min="7" max="7" width="10.140625" bestFit="1" customWidth="1"/>
  </cols>
  <sheetData>
    <row r="1" spans="1:9" s="2" customFormat="1" ht="52.5" customHeight="1" x14ac:dyDescent="0.25">
      <c r="A1" s="1"/>
      <c r="C1" s="3" t="s">
        <v>110</v>
      </c>
    </row>
    <row r="5" spans="1:9" x14ac:dyDescent="0.25">
      <c r="C5" t="s">
        <v>0</v>
      </c>
      <c r="D5" t="s">
        <v>1</v>
      </c>
      <c r="E5" t="s">
        <v>2</v>
      </c>
      <c r="F5" t="s">
        <v>3</v>
      </c>
      <c r="G5" s="4" t="s">
        <v>4</v>
      </c>
      <c r="H5" t="s">
        <v>5</v>
      </c>
      <c r="I5" t="s">
        <v>6</v>
      </c>
    </row>
    <row r="6" spans="1:9" x14ac:dyDescent="0.25">
      <c r="C6" t="s">
        <v>58</v>
      </c>
      <c r="D6" t="s">
        <v>15</v>
      </c>
      <c r="E6" t="s">
        <v>19</v>
      </c>
      <c r="F6">
        <v>22</v>
      </c>
      <c r="G6" s="4">
        <v>44446</v>
      </c>
      <c r="H6">
        <v>112780</v>
      </c>
      <c r="I6" t="s">
        <v>13</v>
      </c>
    </row>
    <row r="7" spans="1:9" x14ac:dyDescent="0.25">
      <c r="C7" t="s">
        <v>70</v>
      </c>
      <c r="D7" t="s">
        <v>15</v>
      </c>
      <c r="E7" t="s">
        <v>9</v>
      </c>
      <c r="F7">
        <v>46</v>
      </c>
      <c r="G7" s="4">
        <v>44758</v>
      </c>
      <c r="H7">
        <v>70610</v>
      </c>
      <c r="I7" t="s">
        <v>16</v>
      </c>
    </row>
    <row r="8" spans="1:9" x14ac:dyDescent="0.25">
      <c r="C8" t="s">
        <v>75</v>
      </c>
      <c r="D8" t="s">
        <v>8</v>
      </c>
      <c r="E8" t="s">
        <v>19</v>
      </c>
      <c r="F8">
        <v>28</v>
      </c>
      <c r="G8" s="4">
        <v>44357</v>
      </c>
      <c r="H8">
        <v>53240</v>
      </c>
      <c r="I8" t="s">
        <v>16</v>
      </c>
    </row>
    <row r="9" spans="1:9" x14ac:dyDescent="0.25">
      <c r="C9" t="s">
        <v>49</v>
      </c>
      <c r="E9" t="s">
        <v>21</v>
      </c>
      <c r="F9">
        <v>37</v>
      </c>
      <c r="G9" s="4">
        <v>44146</v>
      </c>
      <c r="H9">
        <v>115440</v>
      </c>
      <c r="I9" t="s">
        <v>24</v>
      </c>
    </row>
    <row r="10" spans="1:9" x14ac:dyDescent="0.25">
      <c r="C10" t="s">
        <v>65</v>
      </c>
      <c r="D10" t="s">
        <v>15</v>
      </c>
      <c r="E10" t="s">
        <v>19</v>
      </c>
      <c r="F10">
        <v>32</v>
      </c>
      <c r="G10" s="4">
        <v>44465</v>
      </c>
      <c r="H10">
        <v>53540</v>
      </c>
      <c r="I10" t="s">
        <v>16</v>
      </c>
    </row>
    <row r="11" spans="1:9" x14ac:dyDescent="0.25">
      <c r="C11" t="s">
        <v>81</v>
      </c>
      <c r="D11" t="s">
        <v>8</v>
      </c>
      <c r="E11" t="s">
        <v>9</v>
      </c>
      <c r="F11">
        <v>30</v>
      </c>
      <c r="G11" s="4">
        <v>44861</v>
      </c>
      <c r="H11">
        <v>112570</v>
      </c>
      <c r="I11" t="s">
        <v>16</v>
      </c>
    </row>
    <row r="12" spans="1:9" x14ac:dyDescent="0.25">
      <c r="C12" t="s">
        <v>51</v>
      </c>
      <c r="D12" t="s">
        <v>15</v>
      </c>
      <c r="E12" t="s">
        <v>9</v>
      </c>
      <c r="F12">
        <v>33</v>
      </c>
      <c r="G12" s="4">
        <v>44701</v>
      </c>
      <c r="H12">
        <v>48530</v>
      </c>
      <c r="I12" t="s">
        <v>13</v>
      </c>
    </row>
    <row r="13" spans="1:9" x14ac:dyDescent="0.25">
      <c r="C13" t="s">
        <v>61</v>
      </c>
      <c r="D13" t="s">
        <v>8</v>
      </c>
      <c r="E13" t="s">
        <v>12</v>
      </c>
      <c r="F13">
        <v>24</v>
      </c>
      <c r="G13" s="4">
        <v>44148</v>
      </c>
      <c r="H13">
        <v>62780</v>
      </c>
      <c r="I13" t="s">
        <v>16</v>
      </c>
    </row>
    <row r="14" spans="1:9" x14ac:dyDescent="0.25">
      <c r="C14" t="s">
        <v>82</v>
      </c>
      <c r="D14" t="s">
        <v>15</v>
      </c>
      <c r="E14" t="s">
        <v>12</v>
      </c>
      <c r="F14">
        <v>33</v>
      </c>
      <c r="G14" s="4">
        <v>44509</v>
      </c>
      <c r="H14">
        <v>53870</v>
      </c>
      <c r="I14" t="s">
        <v>16</v>
      </c>
    </row>
    <row r="15" spans="1:9" x14ac:dyDescent="0.25">
      <c r="C15" t="s">
        <v>60</v>
      </c>
      <c r="D15" t="s">
        <v>8</v>
      </c>
      <c r="E15" t="s">
        <v>56</v>
      </c>
      <c r="F15">
        <v>27</v>
      </c>
      <c r="G15" s="4">
        <v>44122</v>
      </c>
      <c r="H15">
        <v>119110</v>
      </c>
      <c r="I15" t="s">
        <v>16</v>
      </c>
    </row>
    <row r="16" spans="1:9" x14ac:dyDescent="0.25">
      <c r="C16" t="s">
        <v>87</v>
      </c>
      <c r="D16" t="s">
        <v>15</v>
      </c>
      <c r="E16" t="s">
        <v>12</v>
      </c>
      <c r="F16">
        <v>29</v>
      </c>
      <c r="G16" s="4">
        <v>44180</v>
      </c>
      <c r="H16">
        <v>112110</v>
      </c>
      <c r="I16" t="s">
        <v>24</v>
      </c>
    </row>
    <row r="17" spans="3:9" x14ac:dyDescent="0.25">
      <c r="C17" t="s">
        <v>76</v>
      </c>
      <c r="D17" t="s">
        <v>15</v>
      </c>
      <c r="E17" t="s">
        <v>19</v>
      </c>
      <c r="F17">
        <v>25</v>
      </c>
      <c r="G17" s="4">
        <v>44383</v>
      </c>
      <c r="H17">
        <v>65700</v>
      </c>
      <c r="I17" t="s">
        <v>16</v>
      </c>
    </row>
    <row r="18" spans="3:9" x14ac:dyDescent="0.25">
      <c r="C18" t="s">
        <v>97</v>
      </c>
      <c r="D18" t="s">
        <v>15</v>
      </c>
      <c r="E18" t="s">
        <v>12</v>
      </c>
      <c r="F18">
        <v>37</v>
      </c>
      <c r="G18" s="4">
        <v>44701</v>
      </c>
      <c r="H18">
        <v>69070</v>
      </c>
      <c r="I18" t="s">
        <v>16</v>
      </c>
    </row>
    <row r="19" spans="3:9" x14ac:dyDescent="0.25">
      <c r="C19" t="s">
        <v>22</v>
      </c>
      <c r="D19" t="s">
        <v>15</v>
      </c>
      <c r="E19" t="s">
        <v>12</v>
      </c>
      <c r="F19">
        <v>20</v>
      </c>
      <c r="G19" s="4">
        <v>44459</v>
      </c>
      <c r="H19">
        <v>107700</v>
      </c>
      <c r="I19" t="s">
        <v>16</v>
      </c>
    </row>
    <row r="20" spans="3:9" x14ac:dyDescent="0.25">
      <c r="C20" t="s">
        <v>84</v>
      </c>
      <c r="D20" t="s">
        <v>8</v>
      </c>
      <c r="E20" t="s">
        <v>12</v>
      </c>
      <c r="F20">
        <v>32</v>
      </c>
      <c r="G20" s="4">
        <v>44354</v>
      </c>
      <c r="H20">
        <v>43840</v>
      </c>
      <c r="I20" t="s">
        <v>13</v>
      </c>
    </row>
    <row r="21" spans="3:9" x14ac:dyDescent="0.25">
      <c r="C21" t="s">
        <v>105</v>
      </c>
      <c r="D21" t="s">
        <v>15</v>
      </c>
      <c r="E21" t="s">
        <v>9</v>
      </c>
      <c r="F21">
        <v>40</v>
      </c>
      <c r="G21" s="4">
        <v>44263</v>
      </c>
      <c r="H21">
        <v>99750</v>
      </c>
      <c r="I21" t="s">
        <v>16</v>
      </c>
    </row>
    <row r="22" spans="3:9" x14ac:dyDescent="0.25">
      <c r="C22" t="s">
        <v>47</v>
      </c>
      <c r="D22" t="s">
        <v>15</v>
      </c>
      <c r="E22" t="s">
        <v>9</v>
      </c>
      <c r="F22">
        <v>21</v>
      </c>
      <c r="G22" s="4">
        <v>44104</v>
      </c>
      <c r="H22">
        <v>37920</v>
      </c>
      <c r="I22" t="s">
        <v>16</v>
      </c>
    </row>
    <row r="23" spans="3:9" x14ac:dyDescent="0.25">
      <c r="C23" t="s">
        <v>31</v>
      </c>
      <c r="D23" t="s">
        <v>15</v>
      </c>
      <c r="E23" t="s">
        <v>9</v>
      </c>
      <c r="F23">
        <v>21</v>
      </c>
      <c r="G23" s="4">
        <v>44762</v>
      </c>
      <c r="H23">
        <v>57090</v>
      </c>
      <c r="I23" t="s">
        <v>16</v>
      </c>
    </row>
    <row r="24" spans="3:9" x14ac:dyDescent="0.25">
      <c r="C24" t="s">
        <v>30</v>
      </c>
      <c r="D24" t="s">
        <v>8</v>
      </c>
      <c r="E24" t="s">
        <v>12</v>
      </c>
      <c r="F24">
        <v>31</v>
      </c>
      <c r="G24" s="4">
        <v>44145</v>
      </c>
      <c r="H24">
        <v>41980</v>
      </c>
      <c r="I24" t="s">
        <v>16</v>
      </c>
    </row>
    <row r="25" spans="3:9" x14ac:dyDescent="0.25">
      <c r="C25" t="s">
        <v>78</v>
      </c>
      <c r="D25" t="s">
        <v>15</v>
      </c>
      <c r="E25" t="s">
        <v>56</v>
      </c>
      <c r="F25">
        <v>21</v>
      </c>
      <c r="G25" s="4">
        <v>44242</v>
      </c>
      <c r="H25">
        <v>75880</v>
      </c>
      <c r="I25" t="s">
        <v>16</v>
      </c>
    </row>
    <row r="26" spans="3:9" x14ac:dyDescent="0.25">
      <c r="C26" t="s">
        <v>36</v>
      </c>
      <c r="D26" t="s">
        <v>8</v>
      </c>
      <c r="E26" t="s">
        <v>21</v>
      </c>
      <c r="F26">
        <v>34</v>
      </c>
      <c r="G26" s="4">
        <v>44653</v>
      </c>
      <c r="H26">
        <v>58940</v>
      </c>
      <c r="I26" t="s">
        <v>16</v>
      </c>
    </row>
    <row r="27" spans="3:9" x14ac:dyDescent="0.25">
      <c r="C27" t="s">
        <v>27</v>
      </c>
      <c r="D27" t="s">
        <v>8</v>
      </c>
      <c r="E27" t="s">
        <v>21</v>
      </c>
      <c r="F27">
        <v>30</v>
      </c>
      <c r="G27" s="4">
        <v>44389</v>
      </c>
      <c r="H27">
        <v>67910</v>
      </c>
      <c r="I27" t="s">
        <v>24</v>
      </c>
    </row>
    <row r="28" spans="3:9" x14ac:dyDescent="0.25">
      <c r="C28" t="s">
        <v>26</v>
      </c>
      <c r="D28" t="s">
        <v>8</v>
      </c>
      <c r="E28" t="s">
        <v>12</v>
      </c>
      <c r="F28">
        <v>31</v>
      </c>
      <c r="G28" s="4">
        <v>44663</v>
      </c>
      <c r="H28">
        <v>58100</v>
      </c>
      <c r="I28" t="s">
        <v>16</v>
      </c>
    </row>
    <row r="29" spans="3:9" x14ac:dyDescent="0.25">
      <c r="C29" t="s">
        <v>53</v>
      </c>
      <c r="D29" t="s">
        <v>15</v>
      </c>
      <c r="E29" t="s">
        <v>21</v>
      </c>
      <c r="F29">
        <v>27</v>
      </c>
      <c r="G29" s="4">
        <v>44567</v>
      </c>
      <c r="H29">
        <v>48980</v>
      </c>
      <c r="I29" t="s">
        <v>16</v>
      </c>
    </row>
    <row r="30" spans="3:9" x14ac:dyDescent="0.25">
      <c r="C30" t="s">
        <v>20</v>
      </c>
      <c r="E30" t="s">
        <v>21</v>
      </c>
      <c r="F30">
        <v>30</v>
      </c>
      <c r="G30" s="4">
        <v>44597</v>
      </c>
      <c r="H30">
        <v>64000</v>
      </c>
      <c r="I30" t="s">
        <v>16</v>
      </c>
    </row>
    <row r="31" spans="3:9" x14ac:dyDescent="0.25">
      <c r="C31" t="s">
        <v>7</v>
      </c>
      <c r="D31" t="s">
        <v>8</v>
      </c>
      <c r="E31" t="s">
        <v>9</v>
      </c>
      <c r="F31">
        <v>42</v>
      </c>
      <c r="G31" s="4">
        <v>44779</v>
      </c>
      <c r="H31">
        <v>75000</v>
      </c>
      <c r="I31" t="s">
        <v>10</v>
      </c>
    </row>
    <row r="32" spans="3:9" x14ac:dyDescent="0.25">
      <c r="C32" t="s">
        <v>74</v>
      </c>
      <c r="D32" t="s">
        <v>8</v>
      </c>
      <c r="E32" t="s">
        <v>12</v>
      </c>
      <c r="F32">
        <v>40</v>
      </c>
      <c r="G32" s="4">
        <v>44337</v>
      </c>
      <c r="H32">
        <v>87620</v>
      </c>
      <c r="I32" t="s">
        <v>16</v>
      </c>
    </row>
    <row r="33" spans="3:9" x14ac:dyDescent="0.25">
      <c r="C33" t="s">
        <v>44</v>
      </c>
      <c r="D33" t="s">
        <v>8</v>
      </c>
      <c r="E33" t="s">
        <v>12</v>
      </c>
      <c r="F33">
        <v>29</v>
      </c>
      <c r="G33" s="4">
        <v>44023</v>
      </c>
      <c r="H33">
        <v>34980</v>
      </c>
      <c r="I33" t="s">
        <v>16</v>
      </c>
    </row>
    <row r="34" spans="3:9" x14ac:dyDescent="0.25">
      <c r="C34" t="s">
        <v>35</v>
      </c>
      <c r="D34" t="s">
        <v>8</v>
      </c>
      <c r="E34" t="s">
        <v>21</v>
      </c>
      <c r="F34">
        <v>28</v>
      </c>
      <c r="G34" s="4">
        <v>44185</v>
      </c>
      <c r="H34">
        <v>75970</v>
      </c>
      <c r="I34" t="s">
        <v>16</v>
      </c>
    </row>
    <row r="35" spans="3:9" x14ac:dyDescent="0.25">
      <c r="C35" t="s">
        <v>38</v>
      </c>
      <c r="D35" t="s">
        <v>8</v>
      </c>
      <c r="E35" t="s">
        <v>21</v>
      </c>
      <c r="F35">
        <v>34</v>
      </c>
      <c r="G35" s="4">
        <v>44612</v>
      </c>
      <c r="H35">
        <v>60130</v>
      </c>
      <c r="I35" t="s">
        <v>16</v>
      </c>
    </row>
    <row r="36" spans="3:9" x14ac:dyDescent="0.25">
      <c r="C36" t="s">
        <v>41</v>
      </c>
      <c r="D36" t="s">
        <v>8</v>
      </c>
      <c r="E36" t="s">
        <v>12</v>
      </c>
      <c r="F36">
        <v>33</v>
      </c>
      <c r="G36" s="4">
        <v>44374</v>
      </c>
      <c r="H36">
        <v>75480</v>
      </c>
      <c r="I36" t="s">
        <v>42</v>
      </c>
    </row>
    <row r="37" spans="3:9" x14ac:dyDescent="0.25">
      <c r="C37" t="s">
        <v>40</v>
      </c>
      <c r="D37" t="s">
        <v>15</v>
      </c>
      <c r="E37" t="s">
        <v>9</v>
      </c>
      <c r="F37">
        <v>33</v>
      </c>
      <c r="G37" s="4">
        <v>44164</v>
      </c>
      <c r="H37">
        <v>115920</v>
      </c>
      <c r="I37" t="s">
        <v>16</v>
      </c>
    </row>
    <row r="38" spans="3:9" x14ac:dyDescent="0.25">
      <c r="C38" t="s">
        <v>48</v>
      </c>
      <c r="D38" t="s">
        <v>8</v>
      </c>
      <c r="E38" t="s">
        <v>19</v>
      </c>
      <c r="F38">
        <v>36</v>
      </c>
      <c r="G38" s="4">
        <v>44494</v>
      </c>
      <c r="H38">
        <v>78540</v>
      </c>
      <c r="I38" t="s">
        <v>16</v>
      </c>
    </row>
    <row r="39" spans="3:9" x14ac:dyDescent="0.25">
      <c r="C39" t="s">
        <v>34</v>
      </c>
      <c r="D39" t="s">
        <v>15</v>
      </c>
      <c r="E39" t="s">
        <v>9</v>
      </c>
      <c r="F39">
        <v>25</v>
      </c>
      <c r="G39" s="4">
        <v>44726</v>
      </c>
      <c r="H39">
        <v>109190</v>
      </c>
      <c r="I39" t="s">
        <v>13</v>
      </c>
    </row>
    <row r="40" spans="3:9" x14ac:dyDescent="0.25">
      <c r="C40" t="s">
        <v>73</v>
      </c>
      <c r="D40" t="s">
        <v>8</v>
      </c>
      <c r="E40" t="s">
        <v>19</v>
      </c>
      <c r="F40">
        <v>34</v>
      </c>
      <c r="G40" s="4">
        <v>44721</v>
      </c>
      <c r="H40">
        <v>49630</v>
      </c>
      <c r="I40" t="s">
        <v>24</v>
      </c>
    </row>
    <row r="41" spans="3:9" x14ac:dyDescent="0.25">
      <c r="C41" t="s">
        <v>107</v>
      </c>
      <c r="D41" t="s">
        <v>8</v>
      </c>
      <c r="E41" t="s">
        <v>9</v>
      </c>
      <c r="F41">
        <v>28</v>
      </c>
      <c r="G41" s="4">
        <v>44630</v>
      </c>
      <c r="H41">
        <v>99970</v>
      </c>
      <c r="I41" t="s">
        <v>16</v>
      </c>
    </row>
    <row r="42" spans="3:9" x14ac:dyDescent="0.25">
      <c r="C42" t="s">
        <v>71</v>
      </c>
      <c r="D42" t="s">
        <v>8</v>
      </c>
      <c r="E42" t="s">
        <v>12</v>
      </c>
      <c r="F42">
        <v>33</v>
      </c>
      <c r="G42" s="4">
        <v>44190</v>
      </c>
      <c r="H42">
        <v>96140</v>
      </c>
      <c r="I42" t="s">
        <v>16</v>
      </c>
    </row>
    <row r="43" spans="3:9" x14ac:dyDescent="0.25">
      <c r="C43" t="s">
        <v>50</v>
      </c>
      <c r="D43" t="s">
        <v>15</v>
      </c>
      <c r="E43" t="s">
        <v>9</v>
      </c>
      <c r="F43">
        <v>31</v>
      </c>
      <c r="G43" s="4">
        <v>44724</v>
      </c>
      <c r="H43">
        <v>103550</v>
      </c>
      <c r="I43" t="s">
        <v>16</v>
      </c>
    </row>
    <row r="44" spans="3:9" x14ac:dyDescent="0.25">
      <c r="C44" t="s">
        <v>14</v>
      </c>
      <c r="D44" t="s">
        <v>15</v>
      </c>
      <c r="E44" t="s">
        <v>12</v>
      </c>
      <c r="F44">
        <v>31</v>
      </c>
      <c r="G44" s="4">
        <v>44511</v>
      </c>
      <c r="H44">
        <v>48950</v>
      </c>
      <c r="I44" t="s">
        <v>16</v>
      </c>
    </row>
    <row r="45" spans="3:9" x14ac:dyDescent="0.25">
      <c r="C45" t="s">
        <v>63</v>
      </c>
      <c r="D45" t="s">
        <v>15</v>
      </c>
      <c r="E45" t="s">
        <v>21</v>
      </c>
      <c r="F45">
        <v>24</v>
      </c>
      <c r="G45" s="4">
        <v>44436</v>
      </c>
      <c r="H45">
        <v>52610</v>
      </c>
      <c r="I45" t="s">
        <v>24</v>
      </c>
    </row>
    <row r="46" spans="3:9" x14ac:dyDescent="0.25">
      <c r="C46" t="s">
        <v>72</v>
      </c>
      <c r="D46" t="s">
        <v>8</v>
      </c>
      <c r="E46" t="s">
        <v>9</v>
      </c>
      <c r="F46">
        <v>36</v>
      </c>
      <c r="G46" s="4">
        <v>44529</v>
      </c>
      <c r="H46">
        <v>78390</v>
      </c>
      <c r="I46" t="s">
        <v>16</v>
      </c>
    </row>
    <row r="47" spans="3:9" x14ac:dyDescent="0.25">
      <c r="C47" t="s">
        <v>88</v>
      </c>
      <c r="D47" t="s">
        <v>8</v>
      </c>
      <c r="E47" t="s">
        <v>21</v>
      </c>
      <c r="F47">
        <v>33</v>
      </c>
      <c r="G47" s="4">
        <v>44809</v>
      </c>
      <c r="H47">
        <v>86570</v>
      </c>
      <c r="I47" t="s">
        <v>16</v>
      </c>
    </row>
    <row r="48" spans="3:9" x14ac:dyDescent="0.25">
      <c r="C48" t="s">
        <v>92</v>
      </c>
      <c r="D48" t="s">
        <v>8</v>
      </c>
      <c r="E48" t="s">
        <v>12</v>
      </c>
      <c r="F48">
        <v>27</v>
      </c>
      <c r="G48" s="4">
        <v>44686</v>
      </c>
      <c r="H48">
        <v>83750</v>
      </c>
      <c r="I48" t="s">
        <v>16</v>
      </c>
    </row>
    <row r="49" spans="3:9" x14ac:dyDescent="0.25">
      <c r="C49" t="s">
        <v>102</v>
      </c>
      <c r="D49" t="s">
        <v>8</v>
      </c>
      <c r="E49" t="s">
        <v>21</v>
      </c>
      <c r="F49">
        <v>34</v>
      </c>
      <c r="G49" s="4">
        <v>44445</v>
      </c>
      <c r="H49">
        <v>92450</v>
      </c>
      <c r="I49" t="s">
        <v>16</v>
      </c>
    </row>
    <row r="50" spans="3:9" x14ac:dyDescent="0.25">
      <c r="C50" t="s">
        <v>64</v>
      </c>
      <c r="D50" t="s">
        <v>15</v>
      </c>
      <c r="E50" t="s">
        <v>12</v>
      </c>
      <c r="F50">
        <v>20</v>
      </c>
      <c r="G50" s="4">
        <v>44183</v>
      </c>
      <c r="H50">
        <v>112650</v>
      </c>
      <c r="I50" t="s">
        <v>16</v>
      </c>
    </row>
    <row r="51" spans="3:9" x14ac:dyDescent="0.25">
      <c r="C51" t="s">
        <v>104</v>
      </c>
      <c r="D51" t="s">
        <v>15</v>
      </c>
      <c r="E51" t="s">
        <v>9</v>
      </c>
      <c r="F51">
        <v>20</v>
      </c>
      <c r="G51" s="4">
        <v>44744</v>
      </c>
      <c r="H51">
        <v>79570</v>
      </c>
      <c r="I51" t="s">
        <v>16</v>
      </c>
    </row>
    <row r="52" spans="3:9" x14ac:dyDescent="0.25">
      <c r="C52" t="s">
        <v>91</v>
      </c>
      <c r="D52" t="s">
        <v>8</v>
      </c>
      <c r="E52" t="s">
        <v>19</v>
      </c>
      <c r="F52">
        <v>20</v>
      </c>
      <c r="G52" s="4">
        <v>44537</v>
      </c>
      <c r="H52">
        <v>68900</v>
      </c>
      <c r="I52" t="s">
        <v>24</v>
      </c>
    </row>
    <row r="53" spans="3:9" x14ac:dyDescent="0.25">
      <c r="C53" t="s">
        <v>39</v>
      </c>
      <c r="D53" t="s">
        <v>8</v>
      </c>
      <c r="E53" t="s">
        <v>12</v>
      </c>
      <c r="F53">
        <v>25</v>
      </c>
      <c r="G53" s="4">
        <v>44694</v>
      </c>
      <c r="H53">
        <v>80700</v>
      </c>
      <c r="I53" t="s">
        <v>13</v>
      </c>
    </row>
    <row r="54" spans="3:9" x14ac:dyDescent="0.25">
      <c r="C54" t="s">
        <v>100</v>
      </c>
      <c r="D54" t="s">
        <v>15</v>
      </c>
      <c r="E54" t="s">
        <v>9</v>
      </c>
      <c r="F54">
        <v>19</v>
      </c>
      <c r="G54" s="4">
        <v>44277</v>
      </c>
      <c r="H54">
        <v>58960</v>
      </c>
      <c r="I54" t="s">
        <v>16</v>
      </c>
    </row>
    <row r="55" spans="3:9" x14ac:dyDescent="0.25">
      <c r="C55" t="s">
        <v>106</v>
      </c>
      <c r="D55" t="s">
        <v>15</v>
      </c>
      <c r="E55" t="s">
        <v>12</v>
      </c>
      <c r="F55">
        <v>36</v>
      </c>
      <c r="G55" s="4">
        <v>44019</v>
      </c>
      <c r="H55">
        <v>118840</v>
      </c>
      <c r="I55" t="s">
        <v>16</v>
      </c>
    </row>
    <row r="56" spans="3:9" x14ac:dyDescent="0.25">
      <c r="C56" t="s">
        <v>29</v>
      </c>
      <c r="D56" t="s">
        <v>15</v>
      </c>
      <c r="E56" t="s">
        <v>21</v>
      </c>
      <c r="F56">
        <v>28</v>
      </c>
      <c r="G56" s="4">
        <v>44041</v>
      </c>
      <c r="H56">
        <v>48170</v>
      </c>
      <c r="I56" t="s">
        <v>13</v>
      </c>
    </row>
    <row r="57" spans="3:9" x14ac:dyDescent="0.25">
      <c r="C57" t="s">
        <v>108</v>
      </c>
      <c r="D57" t="s">
        <v>8</v>
      </c>
      <c r="E57" t="s">
        <v>56</v>
      </c>
      <c r="F57">
        <v>32</v>
      </c>
      <c r="G57" s="4">
        <v>44400</v>
      </c>
      <c r="H57">
        <v>45510</v>
      </c>
      <c r="I57" t="s">
        <v>16</v>
      </c>
    </row>
    <row r="58" spans="3:9" x14ac:dyDescent="0.25">
      <c r="C58" t="s">
        <v>64</v>
      </c>
      <c r="D58" t="s">
        <v>15</v>
      </c>
      <c r="E58" t="s">
        <v>9</v>
      </c>
      <c r="F58">
        <v>34</v>
      </c>
      <c r="G58" s="4">
        <v>44703</v>
      </c>
      <c r="H58">
        <v>112650</v>
      </c>
      <c r="I58" t="s">
        <v>16</v>
      </c>
    </row>
    <row r="59" spans="3:9" x14ac:dyDescent="0.25">
      <c r="C59" t="s">
        <v>83</v>
      </c>
      <c r="D59" t="s">
        <v>8</v>
      </c>
      <c r="E59" t="s">
        <v>9</v>
      </c>
      <c r="F59">
        <v>36</v>
      </c>
      <c r="G59" s="4">
        <v>44085</v>
      </c>
      <c r="H59">
        <v>114890</v>
      </c>
      <c r="I59" t="s">
        <v>16</v>
      </c>
    </row>
    <row r="60" spans="3:9" x14ac:dyDescent="0.25">
      <c r="C60" t="s">
        <v>67</v>
      </c>
      <c r="D60" t="s">
        <v>15</v>
      </c>
      <c r="E60" t="s">
        <v>12</v>
      </c>
      <c r="F60">
        <v>30</v>
      </c>
      <c r="G60" s="4">
        <v>44850</v>
      </c>
      <c r="H60">
        <v>69710</v>
      </c>
      <c r="I60" t="s">
        <v>16</v>
      </c>
    </row>
    <row r="61" spans="3:9" x14ac:dyDescent="0.25">
      <c r="C61" t="s">
        <v>94</v>
      </c>
      <c r="D61" t="s">
        <v>15</v>
      </c>
      <c r="E61" t="s">
        <v>21</v>
      </c>
      <c r="F61">
        <v>36</v>
      </c>
      <c r="G61" s="4">
        <v>44333</v>
      </c>
      <c r="H61">
        <v>71380</v>
      </c>
      <c r="I61" t="s">
        <v>16</v>
      </c>
    </row>
    <row r="62" spans="3:9" x14ac:dyDescent="0.25">
      <c r="C62" t="s">
        <v>33</v>
      </c>
      <c r="D62" t="s">
        <v>8</v>
      </c>
      <c r="E62" t="s">
        <v>19</v>
      </c>
      <c r="F62">
        <v>38</v>
      </c>
      <c r="G62" s="4">
        <v>44377</v>
      </c>
      <c r="H62">
        <v>109160</v>
      </c>
      <c r="I62" t="s">
        <v>10</v>
      </c>
    </row>
    <row r="63" spans="3:9" x14ac:dyDescent="0.25">
      <c r="C63" t="s">
        <v>98</v>
      </c>
      <c r="D63" t="s">
        <v>15</v>
      </c>
      <c r="E63" t="s">
        <v>9</v>
      </c>
      <c r="F63">
        <v>27</v>
      </c>
      <c r="G63" s="4">
        <v>44609</v>
      </c>
      <c r="H63">
        <v>113280</v>
      </c>
      <c r="I63" t="s">
        <v>42</v>
      </c>
    </row>
    <row r="64" spans="3:9" x14ac:dyDescent="0.25">
      <c r="C64" t="s">
        <v>25</v>
      </c>
      <c r="D64" t="s">
        <v>15</v>
      </c>
      <c r="E64" t="s">
        <v>12</v>
      </c>
      <c r="F64">
        <v>30</v>
      </c>
      <c r="G64" s="4">
        <v>44273</v>
      </c>
      <c r="H64">
        <v>69120</v>
      </c>
      <c r="I64" t="s">
        <v>16</v>
      </c>
    </row>
    <row r="65" spans="3:9" x14ac:dyDescent="0.25">
      <c r="C65" t="s">
        <v>55</v>
      </c>
      <c r="D65" t="s">
        <v>8</v>
      </c>
      <c r="E65" t="s">
        <v>56</v>
      </c>
      <c r="F65">
        <v>37</v>
      </c>
      <c r="G65" s="4">
        <v>44451</v>
      </c>
      <c r="H65">
        <v>118100</v>
      </c>
      <c r="I65" t="s">
        <v>16</v>
      </c>
    </row>
    <row r="66" spans="3:9" x14ac:dyDescent="0.25">
      <c r="C66" t="s">
        <v>62</v>
      </c>
      <c r="D66" t="s">
        <v>8</v>
      </c>
      <c r="E66" t="s">
        <v>9</v>
      </c>
      <c r="F66">
        <v>22</v>
      </c>
      <c r="G66" s="4">
        <v>44450</v>
      </c>
      <c r="H66">
        <v>76900</v>
      </c>
      <c r="I66" t="s">
        <v>13</v>
      </c>
    </row>
    <row r="67" spans="3:9" x14ac:dyDescent="0.25">
      <c r="C67" t="s">
        <v>17</v>
      </c>
      <c r="D67" t="s">
        <v>8</v>
      </c>
      <c r="E67" t="s">
        <v>12</v>
      </c>
      <c r="F67">
        <v>43</v>
      </c>
      <c r="G67" s="4">
        <v>45045</v>
      </c>
      <c r="H67">
        <v>114870</v>
      </c>
      <c r="I67" t="s">
        <v>16</v>
      </c>
    </row>
    <row r="68" spans="3:9" x14ac:dyDescent="0.25">
      <c r="C68" t="s">
        <v>52</v>
      </c>
      <c r="E68" t="s">
        <v>12</v>
      </c>
      <c r="F68">
        <v>32</v>
      </c>
      <c r="G68" s="4">
        <v>44774</v>
      </c>
      <c r="H68">
        <v>91310</v>
      </c>
      <c r="I68" t="s">
        <v>16</v>
      </c>
    </row>
    <row r="69" spans="3:9" x14ac:dyDescent="0.25">
      <c r="C69" t="s">
        <v>43</v>
      </c>
      <c r="D69" t="s">
        <v>8</v>
      </c>
      <c r="E69" t="s">
        <v>9</v>
      </c>
      <c r="F69">
        <v>28</v>
      </c>
      <c r="G69" s="4">
        <v>44486</v>
      </c>
      <c r="H69">
        <v>104770</v>
      </c>
      <c r="I69" t="s">
        <v>16</v>
      </c>
    </row>
    <row r="70" spans="3:9" x14ac:dyDescent="0.25">
      <c r="C70" t="s">
        <v>89</v>
      </c>
      <c r="D70" t="s">
        <v>15</v>
      </c>
      <c r="E70" t="s">
        <v>19</v>
      </c>
      <c r="F70">
        <v>27</v>
      </c>
      <c r="G70" s="4">
        <v>44134</v>
      </c>
      <c r="H70">
        <v>54970</v>
      </c>
      <c r="I70" t="s">
        <v>16</v>
      </c>
    </row>
    <row r="71" spans="3:9" x14ac:dyDescent="0.25">
      <c r="C71" t="s">
        <v>11</v>
      </c>
      <c r="E71" t="s">
        <v>12</v>
      </c>
      <c r="F71">
        <v>26</v>
      </c>
      <c r="G71" s="4">
        <v>44271</v>
      </c>
      <c r="H71">
        <v>90700</v>
      </c>
      <c r="I71" t="s">
        <v>13</v>
      </c>
    </row>
    <row r="72" spans="3:9" x14ac:dyDescent="0.25">
      <c r="C72" t="s">
        <v>109</v>
      </c>
      <c r="D72" t="s">
        <v>8</v>
      </c>
      <c r="E72" t="s">
        <v>19</v>
      </c>
      <c r="F72">
        <v>38</v>
      </c>
      <c r="G72" s="4">
        <v>44329</v>
      </c>
      <c r="H72">
        <v>56870</v>
      </c>
      <c r="I72" t="s">
        <v>13</v>
      </c>
    </row>
    <row r="73" spans="3:9" x14ac:dyDescent="0.25">
      <c r="C73" t="s">
        <v>77</v>
      </c>
      <c r="D73" t="s">
        <v>8</v>
      </c>
      <c r="E73" t="s">
        <v>19</v>
      </c>
      <c r="F73">
        <v>25</v>
      </c>
      <c r="G73" s="4">
        <v>44205</v>
      </c>
      <c r="H73">
        <v>92700</v>
      </c>
      <c r="I73" t="s">
        <v>16</v>
      </c>
    </row>
    <row r="74" spans="3:9" x14ac:dyDescent="0.25">
      <c r="C74" t="s">
        <v>32</v>
      </c>
      <c r="D74" t="s">
        <v>8</v>
      </c>
      <c r="E74" t="s">
        <v>21</v>
      </c>
      <c r="F74">
        <v>21</v>
      </c>
      <c r="G74" s="4">
        <v>44317</v>
      </c>
      <c r="H74">
        <v>65920</v>
      </c>
      <c r="I74" t="s">
        <v>16</v>
      </c>
    </row>
    <row r="75" spans="3:9" x14ac:dyDescent="0.25">
      <c r="C75" t="s">
        <v>59</v>
      </c>
      <c r="D75" t="s">
        <v>15</v>
      </c>
      <c r="E75" t="s">
        <v>9</v>
      </c>
      <c r="F75">
        <v>26</v>
      </c>
      <c r="G75" s="4">
        <v>44225</v>
      </c>
      <c r="H75">
        <v>47360</v>
      </c>
      <c r="I75" t="s">
        <v>16</v>
      </c>
    </row>
    <row r="76" spans="3:9" x14ac:dyDescent="0.25">
      <c r="C76" t="s">
        <v>37</v>
      </c>
      <c r="D76" t="s">
        <v>15</v>
      </c>
      <c r="E76" t="s">
        <v>9</v>
      </c>
      <c r="F76">
        <v>30</v>
      </c>
      <c r="G76" s="4">
        <v>44666</v>
      </c>
      <c r="H76">
        <v>60570</v>
      </c>
      <c r="I76" t="s">
        <v>16</v>
      </c>
    </row>
    <row r="77" spans="3:9" x14ac:dyDescent="0.25">
      <c r="C77" t="s">
        <v>96</v>
      </c>
      <c r="D77" t="s">
        <v>8</v>
      </c>
      <c r="E77" t="s">
        <v>9</v>
      </c>
      <c r="F77">
        <v>28</v>
      </c>
      <c r="G77" s="4">
        <v>44649</v>
      </c>
      <c r="H77">
        <v>104120</v>
      </c>
      <c r="I77" t="s">
        <v>16</v>
      </c>
    </row>
    <row r="78" spans="3:9" x14ac:dyDescent="0.25">
      <c r="C78" t="s">
        <v>23</v>
      </c>
      <c r="D78" t="s">
        <v>15</v>
      </c>
      <c r="E78" t="s">
        <v>12</v>
      </c>
      <c r="F78">
        <v>37</v>
      </c>
      <c r="G78" s="4">
        <v>44338</v>
      </c>
      <c r="H78">
        <v>88050</v>
      </c>
      <c r="I78" t="s">
        <v>24</v>
      </c>
    </row>
    <row r="79" spans="3:9" x14ac:dyDescent="0.25">
      <c r="C79" t="s">
        <v>103</v>
      </c>
      <c r="D79" t="s">
        <v>15</v>
      </c>
      <c r="E79" t="s">
        <v>12</v>
      </c>
      <c r="F79">
        <v>24</v>
      </c>
      <c r="G79" s="4">
        <v>44686</v>
      </c>
      <c r="H79">
        <v>100420</v>
      </c>
      <c r="I79" t="s">
        <v>16</v>
      </c>
    </row>
    <row r="80" spans="3:9" x14ac:dyDescent="0.25">
      <c r="C80" t="s">
        <v>54</v>
      </c>
      <c r="D80" t="s">
        <v>8</v>
      </c>
      <c r="E80" t="s">
        <v>9</v>
      </c>
      <c r="F80">
        <v>30</v>
      </c>
      <c r="G80" s="4">
        <v>44850</v>
      </c>
      <c r="H80">
        <v>114180</v>
      </c>
      <c r="I80" t="s">
        <v>16</v>
      </c>
    </row>
    <row r="81" spans="3:9" x14ac:dyDescent="0.25">
      <c r="C81" t="s">
        <v>86</v>
      </c>
      <c r="D81" t="s">
        <v>8</v>
      </c>
      <c r="E81" t="s">
        <v>12</v>
      </c>
      <c r="F81">
        <v>21</v>
      </c>
      <c r="G81" s="4">
        <v>44678</v>
      </c>
      <c r="H81">
        <v>33920</v>
      </c>
      <c r="I81" t="s">
        <v>16</v>
      </c>
    </row>
    <row r="82" spans="3:9" x14ac:dyDescent="0.25">
      <c r="C82" t="s">
        <v>69</v>
      </c>
      <c r="D82" t="s">
        <v>15</v>
      </c>
      <c r="E82" t="s">
        <v>9</v>
      </c>
      <c r="F82">
        <v>23</v>
      </c>
      <c r="G82" s="4">
        <v>44440</v>
      </c>
      <c r="H82">
        <v>106460</v>
      </c>
      <c r="I82" t="s">
        <v>16</v>
      </c>
    </row>
    <row r="83" spans="3:9" x14ac:dyDescent="0.25">
      <c r="C83" t="s">
        <v>57</v>
      </c>
      <c r="D83" t="s">
        <v>15</v>
      </c>
      <c r="E83" t="s">
        <v>9</v>
      </c>
      <c r="F83">
        <v>35</v>
      </c>
      <c r="G83" s="4">
        <v>44727</v>
      </c>
      <c r="H83">
        <v>40400</v>
      </c>
      <c r="I83" t="s">
        <v>16</v>
      </c>
    </row>
    <row r="84" spans="3:9" x14ac:dyDescent="0.25">
      <c r="C84" t="s">
        <v>68</v>
      </c>
      <c r="D84" t="s">
        <v>15</v>
      </c>
      <c r="E84" t="s">
        <v>21</v>
      </c>
      <c r="F84">
        <v>27</v>
      </c>
      <c r="G84" s="4">
        <v>44236</v>
      </c>
      <c r="H84">
        <v>91650</v>
      </c>
      <c r="I84" t="s">
        <v>13</v>
      </c>
    </row>
    <row r="85" spans="3:9" x14ac:dyDescent="0.25">
      <c r="C85" t="s">
        <v>99</v>
      </c>
      <c r="D85" t="s">
        <v>15</v>
      </c>
      <c r="E85" t="s">
        <v>19</v>
      </c>
      <c r="F85">
        <v>43</v>
      </c>
      <c r="G85" s="4">
        <v>44620</v>
      </c>
      <c r="H85">
        <v>36040</v>
      </c>
      <c r="I85" t="s">
        <v>16</v>
      </c>
    </row>
    <row r="86" spans="3:9" x14ac:dyDescent="0.25">
      <c r="C86" t="s">
        <v>101</v>
      </c>
      <c r="D86" t="s">
        <v>8</v>
      </c>
      <c r="E86" t="s">
        <v>12</v>
      </c>
      <c r="F86">
        <v>40</v>
      </c>
      <c r="G86" s="4">
        <v>44381</v>
      </c>
      <c r="H86">
        <v>104410</v>
      </c>
      <c r="I86" t="s">
        <v>16</v>
      </c>
    </row>
    <row r="87" spans="3:9" x14ac:dyDescent="0.25">
      <c r="C87" t="s">
        <v>85</v>
      </c>
      <c r="D87" t="s">
        <v>15</v>
      </c>
      <c r="E87" t="s">
        <v>21</v>
      </c>
      <c r="F87">
        <v>30</v>
      </c>
      <c r="G87" s="4">
        <v>44606</v>
      </c>
      <c r="H87">
        <v>96800</v>
      </c>
      <c r="I87" t="s">
        <v>16</v>
      </c>
    </row>
    <row r="88" spans="3:9" x14ac:dyDescent="0.25">
      <c r="C88" t="s">
        <v>28</v>
      </c>
      <c r="D88" t="s">
        <v>8</v>
      </c>
      <c r="E88" t="s">
        <v>21</v>
      </c>
      <c r="F88">
        <v>34</v>
      </c>
      <c r="G88" s="4">
        <v>44459</v>
      </c>
      <c r="H88">
        <v>85000</v>
      </c>
      <c r="I88" t="s">
        <v>16</v>
      </c>
    </row>
    <row r="89" spans="3:9" x14ac:dyDescent="0.25">
      <c r="C89" t="s">
        <v>80</v>
      </c>
      <c r="D89" t="s">
        <v>15</v>
      </c>
      <c r="E89" t="s">
        <v>19</v>
      </c>
      <c r="F89">
        <v>28</v>
      </c>
      <c r="G89" s="4">
        <v>44820</v>
      </c>
      <c r="H89">
        <v>43510</v>
      </c>
      <c r="I89" t="s">
        <v>42</v>
      </c>
    </row>
    <row r="90" spans="3:9" x14ac:dyDescent="0.25">
      <c r="C90" t="s">
        <v>79</v>
      </c>
      <c r="D90" t="s">
        <v>15</v>
      </c>
      <c r="E90" t="s">
        <v>21</v>
      </c>
      <c r="F90">
        <v>33</v>
      </c>
      <c r="G90" s="4">
        <v>44243</v>
      </c>
      <c r="H90">
        <v>59430</v>
      </c>
      <c r="I90" t="s">
        <v>16</v>
      </c>
    </row>
    <row r="91" spans="3:9" x14ac:dyDescent="0.25">
      <c r="C91" t="s">
        <v>93</v>
      </c>
      <c r="D91" t="s">
        <v>8</v>
      </c>
      <c r="E91" t="s">
        <v>21</v>
      </c>
      <c r="F91">
        <v>33</v>
      </c>
      <c r="G91" s="4">
        <v>44067</v>
      </c>
      <c r="H91">
        <v>65360</v>
      </c>
      <c r="I91" t="s">
        <v>16</v>
      </c>
    </row>
    <row r="92" spans="3:9" x14ac:dyDescent="0.25">
      <c r="C92" t="s">
        <v>66</v>
      </c>
      <c r="D92" t="s">
        <v>8</v>
      </c>
      <c r="E92" t="s">
        <v>9</v>
      </c>
      <c r="F92">
        <v>32</v>
      </c>
      <c r="G92" s="4">
        <v>44611</v>
      </c>
      <c r="H92">
        <v>41570</v>
      </c>
      <c r="I92" t="s">
        <v>16</v>
      </c>
    </row>
    <row r="93" spans="3:9" x14ac:dyDescent="0.25">
      <c r="C93" t="s">
        <v>95</v>
      </c>
      <c r="D93" t="s">
        <v>8</v>
      </c>
      <c r="E93" t="s">
        <v>12</v>
      </c>
      <c r="F93">
        <v>33</v>
      </c>
      <c r="G93" s="4">
        <v>44312</v>
      </c>
      <c r="H93">
        <v>75280</v>
      </c>
      <c r="I93" t="s">
        <v>16</v>
      </c>
    </row>
    <row r="94" spans="3:9" x14ac:dyDescent="0.25">
      <c r="C94" t="s">
        <v>18</v>
      </c>
      <c r="D94" t="s">
        <v>15</v>
      </c>
      <c r="E94" t="s">
        <v>19</v>
      </c>
      <c r="F94">
        <v>33</v>
      </c>
      <c r="G94" s="4">
        <v>44385</v>
      </c>
      <c r="H94">
        <v>74550</v>
      </c>
      <c r="I94" t="s">
        <v>16</v>
      </c>
    </row>
    <row r="95" spans="3:9" x14ac:dyDescent="0.25">
      <c r="C95" t="s">
        <v>45</v>
      </c>
      <c r="D95" t="s">
        <v>15</v>
      </c>
      <c r="E95" t="s">
        <v>9</v>
      </c>
      <c r="F95">
        <v>30</v>
      </c>
      <c r="G95" s="4">
        <v>44701</v>
      </c>
      <c r="H95">
        <v>67950</v>
      </c>
      <c r="I95" t="s">
        <v>16</v>
      </c>
    </row>
    <row r="96" spans="3:9" x14ac:dyDescent="0.25">
      <c r="C96" t="s">
        <v>90</v>
      </c>
      <c r="D96" t="s">
        <v>15</v>
      </c>
      <c r="E96" t="s">
        <v>21</v>
      </c>
      <c r="F96">
        <v>42</v>
      </c>
      <c r="G96" s="4">
        <v>44731</v>
      </c>
      <c r="H96">
        <v>70270</v>
      </c>
      <c r="I96" t="s">
        <v>24</v>
      </c>
    </row>
    <row r="97" spans="3:9" x14ac:dyDescent="0.25">
      <c r="C97" t="s">
        <v>46</v>
      </c>
      <c r="D97" t="s">
        <v>15</v>
      </c>
      <c r="E97" t="s">
        <v>9</v>
      </c>
      <c r="F97">
        <v>26</v>
      </c>
      <c r="G97" s="4">
        <v>44411</v>
      </c>
      <c r="H97">
        <v>53540</v>
      </c>
      <c r="I97" t="s">
        <v>16</v>
      </c>
    </row>
    <row r="98" spans="3:9" x14ac:dyDescent="0.25">
      <c r="C98" t="s">
        <v>58</v>
      </c>
      <c r="D98" t="s">
        <v>15</v>
      </c>
      <c r="E98" t="s">
        <v>19</v>
      </c>
      <c r="F98">
        <v>22</v>
      </c>
      <c r="G98">
        <v>44446</v>
      </c>
      <c r="H98">
        <v>112780</v>
      </c>
      <c r="I98" t="s">
        <v>13</v>
      </c>
    </row>
    <row r="99" spans="3:9" x14ac:dyDescent="0.25">
      <c r="C99" t="s">
        <v>70</v>
      </c>
      <c r="D99" t="s">
        <v>15</v>
      </c>
      <c r="E99" t="s">
        <v>9</v>
      </c>
      <c r="F99">
        <v>46</v>
      </c>
      <c r="G99">
        <v>44758</v>
      </c>
      <c r="H99">
        <v>70610</v>
      </c>
      <c r="I99" t="s">
        <v>16</v>
      </c>
    </row>
    <row r="100" spans="3:9" x14ac:dyDescent="0.25">
      <c r="C100" t="s">
        <v>75</v>
      </c>
      <c r="D100" t="s">
        <v>8</v>
      </c>
      <c r="E100" t="s">
        <v>19</v>
      </c>
      <c r="F100">
        <v>28</v>
      </c>
      <c r="G100">
        <v>44357</v>
      </c>
      <c r="H100">
        <v>53240</v>
      </c>
      <c r="I100" t="s">
        <v>16</v>
      </c>
    </row>
    <row r="101" spans="3:9" x14ac:dyDescent="0.25">
      <c r="C101" t="s">
        <v>49</v>
      </c>
      <c r="E101" t="s">
        <v>21</v>
      </c>
      <c r="F101">
        <v>37</v>
      </c>
      <c r="G101">
        <v>44146</v>
      </c>
      <c r="H101">
        <v>115440</v>
      </c>
      <c r="I101" t="s">
        <v>24</v>
      </c>
    </row>
    <row r="102" spans="3:9" x14ac:dyDescent="0.25">
      <c r="C102" t="s">
        <v>65</v>
      </c>
      <c r="D102" t="s">
        <v>15</v>
      </c>
      <c r="E102" t="s">
        <v>19</v>
      </c>
      <c r="F102">
        <v>32</v>
      </c>
      <c r="G102">
        <v>44465</v>
      </c>
      <c r="H102">
        <v>53540</v>
      </c>
      <c r="I102" t="s">
        <v>16</v>
      </c>
    </row>
    <row r="103" spans="3:9" x14ac:dyDescent="0.25">
      <c r="C103" t="s">
        <v>81</v>
      </c>
      <c r="D103" t="s">
        <v>8</v>
      </c>
      <c r="E103" t="s">
        <v>9</v>
      </c>
      <c r="F103">
        <v>30</v>
      </c>
      <c r="G103">
        <v>44861</v>
      </c>
      <c r="H103">
        <v>112570</v>
      </c>
      <c r="I103" t="s">
        <v>16</v>
      </c>
    </row>
    <row r="104" spans="3:9" x14ac:dyDescent="0.25">
      <c r="C104" t="s">
        <v>51</v>
      </c>
      <c r="D104" t="s">
        <v>15</v>
      </c>
      <c r="E104" t="s">
        <v>9</v>
      </c>
      <c r="F104">
        <v>33</v>
      </c>
      <c r="G104">
        <v>44701</v>
      </c>
      <c r="H104">
        <v>48530</v>
      </c>
      <c r="I104" t="s">
        <v>13</v>
      </c>
    </row>
    <row r="105" spans="3:9" x14ac:dyDescent="0.25">
      <c r="C105" t="s">
        <v>61</v>
      </c>
      <c r="D105" t="s">
        <v>8</v>
      </c>
      <c r="E105" t="s">
        <v>12</v>
      </c>
      <c r="F105">
        <v>24</v>
      </c>
      <c r="G105">
        <v>44148</v>
      </c>
      <c r="H105">
        <v>62780</v>
      </c>
      <c r="I105"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zoomScale="160" zoomScaleNormal="160" workbookViewId="0">
      <selection activeCell="C15" sqref="C15"/>
    </sheetView>
  </sheetViews>
  <sheetFormatPr defaultRowHeight="15" x14ac:dyDescent="0.25"/>
  <cols>
    <col min="2" max="8" width="9.42578125" customWidth="1"/>
  </cols>
  <sheetData>
    <row r="2" spans="2:8" x14ac:dyDescent="0.25">
      <c r="B2" t="s">
        <v>0</v>
      </c>
      <c r="C2" t="s">
        <v>1</v>
      </c>
      <c r="D2" t="s">
        <v>3</v>
      </c>
      <c r="E2" t="s">
        <v>6</v>
      </c>
      <c r="F2" t="s">
        <v>4</v>
      </c>
      <c r="G2" t="s">
        <v>2</v>
      </c>
      <c r="H2" t="s">
        <v>5</v>
      </c>
    </row>
    <row r="3" spans="2:8" x14ac:dyDescent="0.25">
      <c r="B3" t="s">
        <v>156</v>
      </c>
      <c r="C3" t="s">
        <v>15</v>
      </c>
      <c r="D3">
        <v>20</v>
      </c>
      <c r="E3" t="s">
        <v>16</v>
      </c>
      <c r="F3" s="4">
        <v>44122</v>
      </c>
      <c r="G3" t="s">
        <v>12</v>
      </c>
      <c r="H3">
        <v>112650</v>
      </c>
    </row>
    <row r="4" spans="2:8" x14ac:dyDescent="0.25">
      <c r="B4" t="s">
        <v>176</v>
      </c>
      <c r="C4" t="s">
        <v>8</v>
      </c>
      <c r="D4">
        <v>32</v>
      </c>
      <c r="E4" t="s">
        <v>13</v>
      </c>
      <c r="F4" s="4">
        <v>44293</v>
      </c>
      <c r="G4" t="s">
        <v>12</v>
      </c>
      <c r="H4">
        <v>43840</v>
      </c>
    </row>
    <row r="5" spans="2:8" x14ac:dyDescent="0.25">
      <c r="B5" t="s">
        <v>143</v>
      </c>
      <c r="C5" t="s">
        <v>15</v>
      </c>
      <c r="D5">
        <v>31</v>
      </c>
      <c r="E5" t="s">
        <v>16</v>
      </c>
      <c r="F5" s="4">
        <v>44663</v>
      </c>
      <c r="G5" t="s">
        <v>9</v>
      </c>
      <c r="H5">
        <v>103550</v>
      </c>
    </row>
    <row r="6" spans="2:8" x14ac:dyDescent="0.25">
      <c r="B6" t="s">
        <v>201</v>
      </c>
      <c r="C6" t="s">
        <v>8</v>
      </c>
      <c r="D6">
        <v>32</v>
      </c>
      <c r="E6" t="s">
        <v>16</v>
      </c>
      <c r="F6" s="4">
        <v>44339</v>
      </c>
      <c r="G6" t="s">
        <v>56</v>
      </c>
      <c r="H6">
        <v>45510</v>
      </c>
    </row>
    <row r="7" spans="2:8" x14ac:dyDescent="0.25">
      <c r="B7" t="s">
        <v>142</v>
      </c>
      <c r="D7">
        <v>37</v>
      </c>
      <c r="E7" t="s">
        <v>24</v>
      </c>
      <c r="F7" s="4">
        <v>44085</v>
      </c>
      <c r="G7" t="s">
        <v>21</v>
      </c>
      <c r="H7">
        <v>115440</v>
      </c>
    </row>
    <row r="8" spans="2:8" x14ac:dyDescent="0.25">
      <c r="B8" t="s">
        <v>202</v>
      </c>
      <c r="C8" t="s">
        <v>8</v>
      </c>
      <c r="D8">
        <v>38</v>
      </c>
      <c r="E8" t="s">
        <v>13</v>
      </c>
      <c r="F8" s="4">
        <v>44268</v>
      </c>
      <c r="G8" t="s">
        <v>19</v>
      </c>
      <c r="H8">
        <v>56870</v>
      </c>
    </row>
    <row r="9" spans="2:8" x14ac:dyDescent="0.25">
      <c r="B9" t="s">
        <v>169</v>
      </c>
      <c r="C9" t="s">
        <v>8</v>
      </c>
      <c r="D9">
        <v>25</v>
      </c>
      <c r="E9" t="s">
        <v>16</v>
      </c>
      <c r="F9" s="4">
        <v>44144</v>
      </c>
      <c r="G9" t="s">
        <v>19</v>
      </c>
      <c r="H9">
        <v>92700</v>
      </c>
    </row>
    <row r="10" spans="2:8" x14ac:dyDescent="0.25">
      <c r="B10" t="s">
        <v>145</v>
      </c>
      <c r="D10">
        <v>32</v>
      </c>
      <c r="E10" t="s">
        <v>16</v>
      </c>
      <c r="F10" s="4">
        <v>44713</v>
      </c>
      <c r="G10" t="s">
        <v>12</v>
      </c>
      <c r="H10">
        <v>91310</v>
      </c>
    </row>
    <row r="11" spans="2:8" x14ac:dyDescent="0.25">
      <c r="B11" t="s">
        <v>115</v>
      </c>
      <c r="C11" t="s">
        <v>15</v>
      </c>
      <c r="D11">
        <v>33</v>
      </c>
      <c r="E11" t="s">
        <v>16</v>
      </c>
      <c r="F11" s="4">
        <v>44324</v>
      </c>
      <c r="G11" t="s">
        <v>19</v>
      </c>
      <c r="H11">
        <v>74550</v>
      </c>
    </row>
    <row r="12" spans="2:8" x14ac:dyDescent="0.25">
      <c r="B12" t="s">
        <v>128</v>
      </c>
      <c r="C12" t="s">
        <v>15</v>
      </c>
      <c r="D12">
        <v>25</v>
      </c>
      <c r="E12" t="s">
        <v>13</v>
      </c>
      <c r="F12" s="4">
        <v>44665</v>
      </c>
      <c r="G12" t="s">
        <v>9</v>
      </c>
      <c r="H12">
        <v>109190</v>
      </c>
    </row>
    <row r="13" spans="2:8" x14ac:dyDescent="0.25">
      <c r="B13" t="s">
        <v>194</v>
      </c>
      <c r="C13" t="s">
        <v>8</v>
      </c>
      <c r="D13">
        <v>40</v>
      </c>
      <c r="E13" t="s">
        <v>16</v>
      </c>
      <c r="F13" s="4">
        <v>44320</v>
      </c>
      <c r="G13" t="s">
        <v>12</v>
      </c>
      <c r="H13">
        <v>104410</v>
      </c>
    </row>
    <row r="14" spans="2:8" x14ac:dyDescent="0.25">
      <c r="B14" t="s">
        <v>177</v>
      </c>
      <c r="C14" t="s">
        <v>15</v>
      </c>
      <c r="D14">
        <v>30</v>
      </c>
      <c r="E14" t="s">
        <v>16</v>
      </c>
      <c r="F14" s="4">
        <v>44544</v>
      </c>
      <c r="G14" t="s">
        <v>21</v>
      </c>
      <c r="H14">
        <v>96800</v>
      </c>
    </row>
    <row r="15" spans="2:8" x14ac:dyDescent="0.25">
      <c r="B15" t="s">
        <v>123</v>
      </c>
      <c r="C15" t="s">
        <v>15</v>
      </c>
      <c r="D15">
        <v>28</v>
      </c>
      <c r="E15" t="s">
        <v>13</v>
      </c>
      <c r="F15" s="4">
        <v>43980</v>
      </c>
      <c r="G15" t="s">
        <v>21</v>
      </c>
      <c r="H15">
        <v>48170</v>
      </c>
    </row>
    <row r="16" spans="2:8" x14ac:dyDescent="0.25">
      <c r="B16" t="s">
        <v>140</v>
      </c>
      <c r="C16" t="s">
        <v>15</v>
      </c>
      <c r="D16">
        <v>21</v>
      </c>
      <c r="E16" t="s">
        <v>16</v>
      </c>
      <c r="F16" s="4">
        <v>44042</v>
      </c>
      <c r="G16" t="s">
        <v>9</v>
      </c>
      <c r="H16">
        <v>37920</v>
      </c>
    </row>
    <row r="17" spans="2:8" x14ac:dyDescent="0.25">
      <c r="B17" t="s">
        <v>178</v>
      </c>
      <c r="C17" t="s">
        <v>15</v>
      </c>
      <c r="D17">
        <v>34</v>
      </c>
      <c r="E17" t="s">
        <v>16</v>
      </c>
      <c r="F17" s="4">
        <v>44642</v>
      </c>
      <c r="G17" t="s">
        <v>9</v>
      </c>
      <c r="H17">
        <v>112650</v>
      </c>
    </row>
    <row r="18" spans="2:8" x14ac:dyDescent="0.25">
      <c r="B18" t="s">
        <v>165</v>
      </c>
      <c r="C18" t="s">
        <v>8</v>
      </c>
      <c r="D18">
        <v>34</v>
      </c>
      <c r="E18" t="s">
        <v>24</v>
      </c>
      <c r="F18" s="4">
        <v>44660</v>
      </c>
      <c r="G18" t="s">
        <v>19</v>
      </c>
      <c r="H18">
        <v>49630</v>
      </c>
    </row>
    <row r="19" spans="2:8" x14ac:dyDescent="0.25">
      <c r="B19" t="s">
        <v>199</v>
      </c>
      <c r="C19" t="s">
        <v>15</v>
      </c>
      <c r="D19">
        <v>36</v>
      </c>
      <c r="E19" t="s">
        <v>16</v>
      </c>
      <c r="F19" s="4">
        <v>43958</v>
      </c>
      <c r="G19" t="s">
        <v>12</v>
      </c>
      <c r="H19">
        <v>118840</v>
      </c>
    </row>
    <row r="20" spans="2:8" x14ac:dyDescent="0.25">
      <c r="B20" t="s">
        <v>159</v>
      </c>
      <c r="C20" t="s">
        <v>15</v>
      </c>
      <c r="D20">
        <v>30</v>
      </c>
      <c r="E20" t="s">
        <v>16</v>
      </c>
      <c r="F20" s="4">
        <v>44789</v>
      </c>
      <c r="G20" t="s">
        <v>12</v>
      </c>
      <c r="H20">
        <v>69710</v>
      </c>
    </row>
    <row r="21" spans="2:8" x14ac:dyDescent="0.25">
      <c r="B21" t="s">
        <v>197</v>
      </c>
      <c r="C21" t="s">
        <v>15</v>
      </c>
      <c r="D21">
        <v>20</v>
      </c>
      <c r="E21" t="s">
        <v>16</v>
      </c>
      <c r="F21" s="4">
        <v>44683</v>
      </c>
      <c r="G21" t="s">
        <v>9</v>
      </c>
      <c r="H21">
        <v>79570</v>
      </c>
    </row>
    <row r="22" spans="2:8" x14ac:dyDescent="0.25">
      <c r="B22" t="s">
        <v>154</v>
      </c>
      <c r="C22" t="s">
        <v>8</v>
      </c>
      <c r="D22">
        <v>22</v>
      </c>
      <c r="E22" t="s">
        <v>13</v>
      </c>
      <c r="F22" s="4">
        <v>44388</v>
      </c>
      <c r="G22" t="s">
        <v>9</v>
      </c>
      <c r="H22">
        <v>76900</v>
      </c>
    </row>
    <row r="23" spans="2:8" x14ac:dyDescent="0.25">
      <c r="B23" t="s">
        <v>182</v>
      </c>
      <c r="C23" t="s">
        <v>15</v>
      </c>
      <c r="D23">
        <v>27</v>
      </c>
      <c r="E23" t="s">
        <v>16</v>
      </c>
      <c r="F23" s="4">
        <v>44073</v>
      </c>
      <c r="G23" t="s">
        <v>19</v>
      </c>
      <c r="H23">
        <v>54970</v>
      </c>
    </row>
    <row r="24" spans="2:8" x14ac:dyDescent="0.25">
      <c r="B24" t="s">
        <v>118</v>
      </c>
      <c r="C24" t="s">
        <v>15</v>
      </c>
      <c r="D24">
        <v>37</v>
      </c>
      <c r="E24" t="s">
        <v>24</v>
      </c>
      <c r="F24" s="4">
        <v>44277</v>
      </c>
      <c r="G24" t="s">
        <v>12</v>
      </c>
      <c r="H24">
        <v>88050</v>
      </c>
    </row>
    <row r="25" spans="2:8" x14ac:dyDescent="0.25">
      <c r="B25" t="s">
        <v>192</v>
      </c>
      <c r="C25" t="s">
        <v>15</v>
      </c>
      <c r="D25">
        <v>43</v>
      </c>
      <c r="E25" t="s">
        <v>16</v>
      </c>
      <c r="F25" s="4">
        <v>44558</v>
      </c>
      <c r="G25" t="s">
        <v>19</v>
      </c>
      <c r="H25">
        <v>36040</v>
      </c>
    </row>
    <row r="26" spans="2:8" x14ac:dyDescent="0.25">
      <c r="B26" t="s">
        <v>111</v>
      </c>
      <c r="C26" t="s">
        <v>8</v>
      </c>
      <c r="D26">
        <v>42</v>
      </c>
      <c r="E26" t="s">
        <v>10</v>
      </c>
      <c r="F26" s="4">
        <v>44718</v>
      </c>
      <c r="G26" t="s">
        <v>9</v>
      </c>
      <c r="H26">
        <v>75000</v>
      </c>
    </row>
    <row r="27" spans="2:8" x14ac:dyDescent="0.25">
      <c r="B27" t="s">
        <v>149</v>
      </c>
      <c r="C27" t="s">
        <v>15</v>
      </c>
      <c r="D27">
        <v>35</v>
      </c>
      <c r="E27" t="s">
        <v>16</v>
      </c>
      <c r="F27" s="4">
        <v>44666</v>
      </c>
      <c r="G27" t="s">
        <v>9</v>
      </c>
      <c r="H27">
        <v>40400</v>
      </c>
    </row>
    <row r="28" spans="2:8" x14ac:dyDescent="0.25">
      <c r="B28" t="s">
        <v>196</v>
      </c>
      <c r="C28" t="s">
        <v>15</v>
      </c>
      <c r="D28">
        <v>24</v>
      </c>
      <c r="E28" t="s">
        <v>16</v>
      </c>
      <c r="F28" s="4">
        <v>44625</v>
      </c>
      <c r="G28" t="s">
        <v>12</v>
      </c>
      <c r="H28">
        <v>100420</v>
      </c>
    </row>
    <row r="29" spans="2:8" x14ac:dyDescent="0.25">
      <c r="B29" t="s">
        <v>120</v>
      </c>
      <c r="C29" t="s">
        <v>8</v>
      </c>
      <c r="D29">
        <v>31</v>
      </c>
      <c r="E29" t="s">
        <v>16</v>
      </c>
      <c r="F29" s="4">
        <v>44604</v>
      </c>
      <c r="G29" t="s">
        <v>12</v>
      </c>
      <c r="H29">
        <v>58100</v>
      </c>
    </row>
    <row r="30" spans="2:8" x14ac:dyDescent="0.25">
      <c r="B30" t="s">
        <v>114</v>
      </c>
      <c r="C30" t="s">
        <v>8</v>
      </c>
      <c r="D30">
        <v>44</v>
      </c>
      <c r="E30" t="s">
        <v>16</v>
      </c>
      <c r="F30" s="4">
        <v>44985</v>
      </c>
      <c r="G30" t="s">
        <v>12</v>
      </c>
      <c r="H30">
        <v>114870</v>
      </c>
    </row>
    <row r="31" spans="2:8" x14ac:dyDescent="0.25">
      <c r="B31" t="s">
        <v>158</v>
      </c>
      <c r="C31" t="s">
        <v>8</v>
      </c>
      <c r="D31">
        <v>32</v>
      </c>
      <c r="E31" t="s">
        <v>16</v>
      </c>
      <c r="F31" s="4">
        <v>44549</v>
      </c>
      <c r="G31" t="s">
        <v>9</v>
      </c>
      <c r="H31">
        <v>41570</v>
      </c>
    </row>
    <row r="32" spans="2:8" x14ac:dyDescent="0.25">
      <c r="B32" t="s">
        <v>173</v>
      </c>
      <c r="C32" t="s">
        <v>8</v>
      </c>
      <c r="D32">
        <v>30</v>
      </c>
      <c r="E32" t="s">
        <v>16</v>
      </c>
      <c r="F32" s="4">
        <v>44800</v>
      </c>
      <c r="G32" t="s">
        <v>9</v>
      </c>
      <c r="H32">
        <v>112570</v>
      </c>
    </row>
    <row r="33" spans="2:8" x14ac:dyDescent="0.25">
      <c r="B33" t="s">
        <v>151</v>
      </c>
      <c r="C33" t="s">
        <v>15</v>
      </c>
      <c r="D33">
        <v>26</v>
      </c>
      <c r="E33" t="s">
        <v>16</v>
      </c>
      <c r="F33" s="4">
        <v>44164</v>
      </c>
      <c r="G33" t="s">
        <v>9</v>
      </c>
      <c r="H33">
        <v>47360</v>
      </c>
    </row>
    <row r="34" spans="2:8" x14ac:dyDescent="0.25">
      <c r="B34" t="s">
        <v>126</v>
      </c>
      <c r="C34" t="s">
        <v>8</v>
      </c>
      <c r="D34">
        <v>21</v>
      </c>
      <c r="E34" t="s">
        <v>16</v>
      </c>
      <c r="F34" s="4">
        <v>44256</v>
      </c>
      <c r="G34" t="s">
        <v>21</v>
      </c>
      <c r="H34">
        <v>65920</v>
      </c>
    </row>
    <row r="35" spans="2:8" x14ac:dyDescent="0.25">
      <c r="B35" t="s">
        <v>200</v>
      </c>
      <c r="C35" t="s">
        <v>8</v>
      </c>
      <c r="D35">
        <v>28</v>
      </c>
      <c r="E35" t="s">
        <v>16</v>
      </c>
      <c r="F35" s="4">
        <v>44571</v>
      </c>
      <c r="G35" t="s">
        <v>9</v>
      </c>
      <c r="H35">
        <v>99970</v>
      </c>
    </row>
    <row r="36" spans="2:8" x14ac:dyDescent="0.25">
      <c r="B36" t="s">
        <v>133</v>
      </c>
      <c r="C36" t="s">
        <v>8</v>
      </c>
      <c r="D36">
        <v>25</v>
      </c>
      <c r="E36" t="s">
        <v>13</v>
      </c>
      <c r="F36" s="4">
        <v>44633</v>
      </c>
      <c r="G36" t="s">
        <v>12</v>
      </c>
      <c r="H36">
        <v>80700</v>
      </c>
    </row>
    <row r="37" spans="2:8" x14ac:dyDescent="0.25">
      <c r="B37" t="s">
        <v>155</v>
      </c>
      <c r="C37" t="s">
        <v>15</v>
      </c>
      <c r="D37">
        <v>24</v>
      </c>
      <c r="E37" t="s">
        <v>24</v>
      </c>
      <c r="F37" s="4">
        <v>44375</v>
      </c>
      <c r="G37" t="s">
        <v>21</v>
      </c>
      <c r="H37">
        <v>52610</v>
      </c>
    </row>
    <row r="38" spans="2:8" x14ac:dyDescent="0.25">
      <c r="B38" t="s">
        <v>180</v>
      </c>
      <c r="C38" t="s">
        <v>15</v>
      </c>
      <c r="D38">
        <v>29</v>
      </c>
      <c r="E38" t="s">
        <v>24</v>
      </c>
      <c r="F38" s="4">
        <v>44119</v>
      </c>
      <c r="G38" t="s">
        <v>12</v>
      </c>
      <c r="H38">
        <v>112110</v>
      </c>
    </row>
    <row r="39" spans="2:8" x14ac:dyDescent="0.25">
      <c r="B39" t="s">
        <v>152</v>
      </c>
      <c r="C39" t="s">
        <v>8</v>
      </c>
      <c r="D39">
        <v>27</v>
      </c>
      <c r="E39" t="s">
        <v>16</v>
      </c>
      <c r="F39" s="4">
        <v>44061</v>
      </c>
      <c r="G39" t="s">
        <v>56</v>
      </c>
      <c r="H39">
        <v>119110</v>
      </c>
    </row>
    <row r="40" spans="2:8" x14ac:dyDescent="0.25">
      <c r="B40" t="s">
        <v>150</v>
      </c>
      <c r="C40" t="s">
        <v>15</v>
      </c>
      <c r="D40">
        <v>22</v>
      </c>
      <c r="E40" t="s">
        <v>13</v>
      </c>
      <c r="F40" s="4">
        <v>44384</v>
      </c>
      <c r="G40" t="s">
        <v>19</v>
      </c>
      <c r="H40">
        <v>112780</v>
      </c>
    </row>
    <row r="41" spans="2:8" x14ac:dyDescent="0.25">
      <c r="B41" t="s">
        <v>175</v>
      </c>
      <c r="C41" t="s">
        <v>8</v>
      </c>
      <c r="D41">
        <v>36</v>
      </c>
      <c r="E41" t="s">
        <v>16</v>
      </c>
      <c r="F41" s="4">
        <v>44023</v>
      </c>
      <c r="G41" t="s">
        <v>9</v>
      </c>
      <c r="H41">
        <v>114890</v>
      </c>
    </row>
    <row r="42" spans="2:8" x14ac:dyDescent="0.25">
      <c r="B42" t="s">
        <v>146</v>
      </c>
      <c r="C42" t="s">
        <v>15</v>
      </c>
      <c r="D42">
        <v>27</v>
      </c>
      <c r="E42" t="s">
        <v>16</v>
      </c>
      <c r="F42" s="4">
        <v>44506</v>
      </c>
      <c r="G42" t="s">
        <v>21</v>
      </c>
      <c r="H42">
        <v>48980</v>
      </c>
    </row>
    <row r="43" spans="2:8" x14ac:dyDescent="0.25">
      <c r="B43" t="s">
        <v>170</v>
      </c>
      <c r="C43" t="s">
        <v>15</v>
      </c>
      <c r="D43">
        <v>21</v>
      </c>
      <c r="E43" t="s">
        <v>16</v>
      </c>
      <c r="F43" s="4">
        <v>44180</v>
      </c>
      <c r="G43" t="s">
        <v>56</v>
      </c>
      <c r="H43">
        <v>75880</v>
      </c>
    </row>
    <row r="44" spans="2:8" x14ac:dyDescent="0.25">
      <c r="B44" t="s">
        <v>167</v>
      </c>
      <c r="C44" t="s">
        <v>8</v>
      </c>
      <c r="D44">
        <v>28</v>
      </c>
      <c r="E44" t="s">
        <v>16</v>
      </c>
      <c r="F44" s="4">
        <v>44296</v>
      </c>
      <c r="G44" t="s">
        <v>19</v>
      </c>
      <c r="H44">
        <v>53240</v>
      </c>
    </row>
    <row r="45" spans="2:8" x14ac:dyDescent="0.25">
      <c r="B45" t="s">
        <v>122</v>
      </c>
      <c r="C45" t="s">
        <v>8</v>
      </c>
      <c r="D45">
        <v>34</v>
      </c>
      <c r="E45" t="s">
        <v>16</v>
      </c>
      <c r="F45" s="4">
        <v>44397</v>
      </c>
      <c r="G45" t="s">
        <v>21</v>
      </c>
      <c r="H45">
        <v>85000</v>
      </c>
    </row>
    <row r="46" spans="2:8" x14ac:dyDescent="0.25">
      <c r="B46" t="s">
        <v>179</v>
      </c>
      <c r="C46" t="s">
        <v>8</v>
      </c>
      <c r="D46">
        <v>21</v>
      </c>
      <c r="E46" t="s">
        <v>16</v>
      </c>
      <c r="F46" s="4">
        <v>44619</v>
      </c>
      <c r="G46" t="s">
        <v>12</v>
      </c>
      <c r="H46">
        <v>33920</v>
      </c>
    </row>
    <row r="47" spans="2:8" x14ac:dyDescent="0.25">
      <c r="B47" t="s">
        <v>188</v>
      </c>
      <c r="C47" t="s">
        <v>8</v>
      </c>
      <c r="D47">
        <v>33</v>
      </c>
      <c r="E47" t="s">
        <v>16</v>
      </c>
      <c r="F47" s="4">
        <v>44253</v>
      </c>
      <c r="G47" t="s">
        <v>12</v>
      </c>
      <c r="H47">
        <v>75280</v>
      </c>
    </row>
    <row r="48" spans="2:8" x14ac:dyDescent="0.25">
      <c r="B48" t="s">
        <v>130</v>
      </c>
      <c r="C48" t="s">
        <v>8</v>
      </c>
      <c r="D48">
        <v>34</v>
      </c>
      <c r="E48" t="s">
        <v>16</v>
      </c>
      <c r="F48" s="4">
        <v>44594</v>
      </c>
      <c r="G48" t="s">
        <v>21</v>
      </c>
      <c r="H48">
        <v>58940</v>
      </c>
    </row>
    <row r="49" spans="2:8" x14ac:dyDescent="0.25">
      <c r="B49" t="s">
        <v>136</v>
      </c>
      <c r="C49" t="s">
        <v>8</v>
      </c>
      <c r="D49">
        <v>28</v>
      </c>
      <c r="E49" t="s">
        <v>16</v>
      </c>
      <c r="F49" s="4">
        <v>44425</v>
      </c>
      <c r="G49" t="s">
        <v>9</v>
      </c>
      <c r="H49">
        <v>104770</v>
      </c>
    </row>
    <row r="50" spans="2:8" x14ac:dyDescent="0.25">
      <c r="B50" t="s">
        <v>125</v>
      </c>
      <c r="C50" t="s">
        <v>15</v>
      </c>
      <c r="D50">
        <v>21</v>
      </c>
      <c r="E50" t="s">
        <v>16</v>
      </c>
      <c r="F50" s="4">
        <v>44701</v>
      </c>
      <c r="G50" t="s">
        <v>9</v>
      </c>
      <c r="H50">
        <v>57090</v>
      </c>
    </row>
    <row r="51" spans="2:8" x14ac:dyDescent="0.25">
      <c r="B51" t="s">
        <v>160</v>
      </c>
      <c r="C51" t="s">
        <v>15</v>
      </c>
      <c r="D51">
        <v>27</v>
      </c>
      <c r="E51" t="s">
        <v>13</v>
      </c>
      <c r="F51" s="4">
        <v>44174</v>
      </c>
      <c r="G51" t="s">
        <v>21</v>
      </c>
      <c r="H51">
        <v>91650</v>
      </c>
    </row>
    <row r="52" spans="2:8" x14ac:dyDescent="0.25">
      <c r="B52" t="s">
        <v>183</v>
      </c>
      <c r="C52" t="s">
        <v>15</v>
      </c>
      <c r="D52">
        <v>42</v>
      </c>
      <c r="E52" t="s">
        <v>24</v>
      </c>
      <c r="F52" s="4">
        <v>44670</v>
      </c>
      <c r="G52" t="s">
        <v>21</v>
      </c>
      <c r="H52">
        <v>70270</v>
      </c>
    </row>
    <row r="53" spans="2:8" x14ac:dyDescent="0.25">
      <c r="B53" t="s">
        <v>129</v>
      </c>
      <c r="C53" t="s">
        <v>8</v>
      </c>
      <c r="D53">
        <v>28</v>
      </c>
      <c r="E53" t="s">
        <v>16</v>
      </c>
      <c r="F53" s="4">
        <v>44124</v>
      </c>
      <c r="G53" t="s">
        <v>21</v>
      </c>
      <c r="H53">
        <v>75970</v>
      </c>
    </row>
    <row r="54" spans="2:8" x14ac:dyDescent="0.25">
      <c r="B54" t="s">
        <v>112</v>
      </c>
      <c r="D54">
        <v>27</v>
      </c>
      <c r="E54" t="s">
        <v>13</v>
      </c>
      <c r="F54" s="4">
        <v>44212</v>
      </c>
      <c r="G54" t="s">
        <v>12</v>
      </c>
      <c r="H54">
        <v>90700</v>
      </c>
    </row>
    <row r="55" spans="2:8" x14ac:dyDescent="0.25">
      <c r="B55" t="s">
        <v>131</v>
      </c>
      <c r="C55" t="s">
        <v>15</v>
      </c>
      <c r="D55">
        <v>30</v>
      </c>
      <c r="E55" t="s">
        <v>16</v>
      </c>
      <c r="F55" s="4">
        <v>44607</v>
      </c>
      <c r="G55" t="s">
        <v>9</v>
      </c>
      <c r="H55">
        <v>60570</v>
      </c>
    </row>
    <row r="56" spans="2:8" x14ac:dyDescent="0.25">
      <c r="B56" t="s">
        <v>134</v>
      </c>
      <c r="C56" t="s">
        <v>15</v>
      </c>
      <c r="D56">
        <v>33</v>
      </c>
      <c r="E56" t="s">
        <v>16</v>
      </c>
      <c r="F56" s="4">
        <v>44103</v>
      </c>
      <c r="G56" t="s">
        <v>9</v>
      </c>
      <c r="H56">
        <v>115920</v>
      </c>
    </row>
    <row r="57" spans="2:8" x14ac:dyDescent="0.25">
      <c r="B57" t="s">
        <v>186</v>
      </c>
      <c r="C57" t="s">
        <v>8</v>
      </c>
      <c r="D57">
        <v>33</v>
      </c>
      <c r="E57" t="s">
        <v>16</v>
      </c>
      <c r="F57" s="4">
        <v>44006</v>
      </c>
      <c r="G57" t="s">
        <v>21</v>
      </c>
      <c r="H57">
        <v>65360</v>
      </c>
    </row>
    <row r="58" spans="2:8" x14ac:dyDescent="0.25">
      <c r="B58" t="s">
        <v>116</v>
      </c>
      <c r="D58">
        <v>30</v>
      </c>
      <c r="E58" t="s">
        <v>16</v>
      </c>
      <c r="F58" s="4">
        <v>44535</v>
      </c>
      <c r="G58" t="s">
        <v>21</v>
      </c>
      <c r="H58">
        <v>64000</v>
      </c>
    </row>
    <row r="59" spans="2:8" x14ac:dyDescent="0.25">
      <c r="B59" t="s">
        <v>195</v>
      </c>
      <c r="C59" t="s">
        <v>8</v>
      </c>
      <c r="D59">
        <v>34</v>
      </c>
      <c r="E59" t="s">
        <v>16</v>
      </c>
      <c r="F59" s="4">
        <v>44383</v>
      </c>
      <c r="G59" t="s">
        <v>21</v>
      </c>
      <c r="H59">
        <v>92450</v>
      </c>
    </row>
    <row r="60" spans="2:8" x14ac:dyDescent="0.25">
      <c r="B60" t="s">
        <v>113</v>
      </c>
      <c r="C60" t="s">
        <v>15</v>
      </c>
      <c r="D60">
        <v>31</v>
      </c>
      <c r="E60" t="s">
        <v>16</v>
      </c>
      <c r="F60" s="4">
        <v>44450</v>
      </c>
      <c r="G60" t="s">
        <v>12</v>
      </c>
      <c r="H60">
        <v>48950</v>
      </c>
    </row>
    <row r="61" spans="2:8" x14ac:dyDescent="0.25">
      <c r="B61" t="s">
        <v>185</v>
      </c>
      <c r="C61" t="s">
        <v>8</v>
      </c>
      <c r="D61">
        <v>27</v>
      </c>
      <c r="E61" t="s">
        <v>16</v>
      </c>
      <c r="F61" s="4">
        <v>44625</v>
      </c>
      <c r="G61" t="s">
        <v>12</v>
      </c>
      <c r="H61">
        <v>83750</v>
      </c>
    </row>
    <row r="62" spans="2:8" x14ac:dyDescent="0.25">
      <c r="B62" t="s">
        <v>166</v>
      </c>
      <c r="C62" t="s">
        <v>8</v>
      </c>
      <c r="D62">
        <v>40</v>
      </c>
      <c r="E62" t="s">
        <v>16</v>
      </c>
      <c r="F62" s="4">
        <v>44276</v>
      </c>
      <c r="G62" t="s">
        <v>12</v>
      </c>
      <c r="H62">
        <v>87620</v>
      </c>
    </row>
    <row r="63" spans="2:8" x14ac:dyDescent="0.25">
      <c r="B63" t="s">
        <v>184</v>
      </c>
      <c r="C63" t="s">
        <v>8</v>
      </c>
      <c r="D63">
        <v>20</v>
      </c>
      <c r="E63" t="s">
        <v>24</v>
      </c>
      <c r="F63" s="4">
        <v>44476</v>
      </c>
      <c r="G63" t="s">
        <v>19</v>
      </c>
      <c r="H63">
        <v>68900</v>
      </c>
    </row>
    <row r="64" spans="2:8" x14ac:dyDescent="0.25">
      <c r="B64" t="s">
        <v>157</v>
      </c>
      <c r="C64" t="s">
        <v>15</v>
      </c>
      <c r="D64">
        <v>32</v>
      </c>
      <c r="E64" t="s">
        <v>16</v>
      </c>
      <c r="F64" s="4">
        <v>44403</v>
      </c>
      <c r="G64" t="s">
        <v>19</v>
      </c>
      <c r="H64">
        <v>53540</v>
      </c>
    </row>
    <row r="65" spans="2:8" x14ac:dyDescent="0.25">
      <c r="B65" t="s">
        <v>172</v>
      </c>
      <c r="C65" t="s">
        <v>15</v>
      </c>
      <c r="D65">
        <v>28</v>
      </c>
      <c r="E65" t="s">
        <v>42</v>
      </c>
      <c r="F65" s="4">
        <v>44758</v>
      </c>
      <c r="G65" t="s">
        <v>19</v>
      </c>
      <c r="H65">
        <v>43510</v>
      </c>
    </row>
    <row r="66" spans="2:8" x14ac:dyDescent="0.25">
      <c r="B66" t="s">
        <v>127</v>
      </c>
      <c r="C66" t="s">
        <v>8</v>
      </c>
      <c r="D66">
        <v>38</v>
      </c>
      <c r="E66" t="s">
        <v>10</v>
      </c>
      <c r="F66" s="4">
        <v>44316</v>
      </c>
      <c r="G66" t="s">
        <v>19</v>
      </c>
      <c r="H66">
        <v>109160</v>
      </c>
    </row>
    <row r="67" spans="2:8" x14ac:dyDescent="0.25">
      <c r="B67" t="s">
        <v>198</v>
      </c>
      <c r="C67" t="s">
        <v>15</v>
      </c>
      <c r="D67">
        <v>40</v>
      </c>
      <c r="E67" t="s">
        <v>16</v>
      </c>
      <c r="F67" s="4">
        <v>44204</v>
      </c>
      <c r="G67" t="s">
        <v>9</v>
      </c>
      <c r="H67">
        <v>99750</v>
      </c>
    </row>
    <row r="68" spans="2:8" x14ac:dyDescent="0.25">
      <c r="B68" t="s">
        <v>124</v>
      </c>
      <c r="C68" t="s">
        <v>8</v>
      </c>
      <c r="D68">
        <v>31</v>
      </c>
      <c r="E68" t="s">
        <v>16</v>
      </c>
      <c r="F68" s="4">
        <v>44084</v>
      </c>
      <c r="G68" t="s">
        <v>12</v>
      </c>
      <c r="H68">
        <v>41980</v>
      </c>
    </row>
    <row r="69" spans="2:8" x14ac:dyDescent="0.25">
      <c r="B69" t="s">
        <v>187</v>
      </c>
      <c r="C69" t="s">
        <v>15</v>
      </c>
      <c r="D69">
        <v>36</v>
      </c>
      <c r="E69" t="s">
        <v>16</v>
      </c>
      <c r="F69" s="4">
        <v>44272</v>
      </c>
      <c r="G69" t="s">
        <v>21</v>
      </c>
      <c r="H69">
        <v>71380</v>
      </c>
    </row>
    <row r="70" spans="2:8" x14ac:dyDescent="0.25">
      <c r="B70" t="s">
        <v>191</v>
      </c>
      <c r="C70" t="s">
        <v>15</v>
      </c>
      <c r="D70">
        <v>27</v>
      </c>
      <c r="E70" t="s">
        <v>42</v>
      </c>
      <c r="F70" s="4">
        <v>44547</v>
      </c>
      <c r="G70" t="s">
        <v>9</v>
      </c>
      <c r="H70">
        <v>113280</v>
      </c>
    </row>
    <row r="71" spans="2:8" x14ac:dyDescent="0.25">
      <c r="B71" t="s">
        <v>181</v>
      </c>
      <c r="C71" t="s">
        <v>8</v>
      </c>
      <c r="D71">
        <v>33</v>
      </c>
      <c r="E71" t="s">
        <v>16</v>
      </c>
      <c r="F71" s="4">
        <v>44747</v>
      </c>
      <c r="G71" t="s">
        <v>21</v>
      </c>
      <c r="H71">
        <v>86570</v>
      </c>
    </row>
    <row r="72" spans="2:8" x14ac:dyDescent="0.25">
      <c r="B72" t="s">
        <v>139</v>
      </c>
      <c r="C72" t="s">
        <v>15</v>
      </c>
      <c r="D72">
        <v>26</v>
      </c>
      <c r="E72" t="s">
        <v>16</v>
      </c>
      <c r="F72" s="4">
        <v>44350</v>
      </c>
      <c r="G72" t="s">
        <v>9</v>
      </c>
      <c r="H72">
        <v>53540</v>
      </c>
    </row>
    <row r="73" spans="2:8" x14ac:dyDescent="0.25">
      <c r="B73" t="s">
        <v>190</v>
      </c>
      <c r="C73" t="s">
        <v>15</v>
      </c>
      <c r="D73">
        <v>37</v>
      </c>
      <c r="E73" t="s">
        <v>16</v>
      </c>
      <c r="F73" s="4">
        <v>44640</v>
      </c>
      <c r="G73" t="s">
        <v>12</v>
      </c>
      <c r="H73">
        <v>69070</v>
      </c>
    </row>
    <row r="74" spans="2:8" x14ac:dyDescent="0.25">
      <c r="B74" t="s">
        <v>121</v>
      </c>
      <c r="C74" t="s">
        <v>8</v>
      </c>
      <c r="D74">
        <v>30</v>
      </c>
      <c r="E74" t="s">
        <v>24</v>
      </c>
      <c r="F74" s="4">
        <v>44328</v>
      </c>
      <c r="G74" t="s">
        <v>21</v>
      </c>
      <c r="H74">
        <v>67910</v>
      </c>
    </row>
    <row r="75" spans="2:8" x14ac:dyDescent="0.25">
      <c r="B75" t="s">
        <v>119</v>
      </c>
      <c r="C75" t="s">
        <v>15</v>
      </c>
      <c r="D75">
        <v>30</v>
      </c>
      <c r="E75" t="s">
        <v>16</v>
      </c>
      <c r="F75" s="4">
        <v>44214</v>
      </c>
      <c r="G75" t="s">
        <v>12</v>
      </c>
      <c r="H75">
        <v>69120</v>
      </c>
    </row>
    <row r="76" spans="2:8" x14ac:dyDescent="0.25">
      <c r="B76" t="s">
        <v>132</v>
      </c>
      <c r="C76" t="s">
        <v>8</v>
      </c>
      <c r="D76">
        <v>34</v>
      </c>
      <c r="E76" t="s">
        <v>16</v>
      </c>
      <c r="F76" s="4">
        <v>44550</v>
      </c>
      <c r="G76" t="s">
        <v>21</v>
      </c>
      <c r="H76">
        <v>60130</v>
      </c>
    </row>
    <row r="77" spans="2:8" x14ac:dyDescent="0.25">
      <c r="B77" t="s">
        <v>161</v>
      </c>
      <c r="C77" t="s">
        <v>15</v>
      </c>
      <c r="D77">
        <v>23</v>
      </c>
      <c r="E77" t="s">
        <v>16</v>
      </c>
      <c r="F77" s="4">
        <v>44378</v>
      </c>
      <c r="G77" t="s">
        <v>9</v>
      </c>
      <c r="H77">
        <v>106460</v>
      </c>
    </row>
    <row r="78" spans="2:8" x14ac:dyDescent="0.25">
      <c r="B78" t="s">
        <v>148</v>
      </c>
      <c r="C78" t="s">
        <v>8</v>
      </c>
      <c r="D78">
        <v>37</v>
      </c>
      <c r="E78" t="s">
        <v>16</v>
      </c>
      <c r="F78" s="4">
        <v>44389</v>
      </c>
      <c r="G78" t="s">
        <v>56</v>
      </c>
      <c r="H78">
        <v>118100</v>
      </c>
    </row>
    <row r="79" spans="2:8" x14ac:dyDescent="0.25">
      <c r="B79" t="s">
        <v>164</v>
      </c>
      <c r="C79" t="s">
        <v>8</v>
      </c>
      <c r="D79">
        <v>36</v>
      </c>
      <c r="E79" t="s">
        <v>16</v>
      </c>
      <c r="F79" s="4">
        <v>44468</v>
      </c>
      <c r="G79" t="s">
        <v>9</v>
      </c>
      <c r="H79">
        <v>78390</v>
      </c>
    </row>
    <row r="80" spans="2:8" x14ac:dyDescent="0.25">
      <c r="B80" t="s">
        <v>147</v>
      </c>
      <c r="C80" t="s">
        <v>8</v>
      </c>
      <c r="D80">
        <v>30</v>
      </c>
      <c r="E80" t="s">
        <v>16</v>
      </c>
      <c r="F80" s="4">
        <v>44789</v>
      </c>
      <c r="G80" t="s">
        <v>9</v>
      </c>
      <c r="H80">
        <v>114180</v>
      </c>
    </row>
    <row r="81" spans="2:8" x14ac:dyDescent="0.25">
      <c r="B81" t="s">
        <v>189</v>
      </c>
      <c r="C81" t="s">
        <v>8</v>
      </c>
      <c r="D81">
        <v>28</v>
      </c>
      <c r="E81" t="s">
        <v>16</v>
      </c>
      <c r="F81" s="4">
        <v>44590</v>
      </c>
      <c r="G81" t="s">
        <v>9</v>
      </c>
      <c r="H81">
        <v>104120</v>
      </c>
    </row>
    <row r="82" spans="2:8" x14ac:dyDescent="0.25">
      <c r="B82" t="s">
        <v>138</v>
      </c>
      <c r="C82" t="s">
        <v>15</v>
      </c>
      <c r="D82">
        <v>30</v>
      </c>
      <c r="E82" t="s">
        <v>16</v>
      </c>
      <c r="F82" s="4">
        <v>44640</v>
      </c>
      <c r="G82" t="s">
        <v>9</v>
      </c>
      <c r="H82">
        <v>67950</v>
      </c>
    </row>
    <row r="83" spans="2:8" x14ac:dyDescent="0.25">
      <c r="B83" t="s">
        <v>137</v>
      </c>
      <c r="C83" t="s">
        <v>8</v>
      </c>
      <c r="D83">
        <v>29</v>
      </c>
      <c r="E83" t="s">
        <v>16</v>
      </c>
      <c r="F83" s="4">
        <v>43962</v>
      </c>
      <c r="G83" t="s">
        <v>12</v>
      </c>
      <c r="H83">
        <v>34980</v>
      </c>
    </row>
    <row r="84" spans="2:8" x14ac:dyDescent="0.25">
      <c r="B84" t="s">
        <v>153</v>
      </c>
      <c r="C84" t="s">
        <v>8</v>
      </c>
      <c r="D84">
        <v>24</v>
      </c>
      <c r="E84" t="s">
        <v>16</v>
      </c>
      <c r="F84" s="4">
        <v>44087</v>
      </c>
      <c r="G84" t="s">
        <v>12</v>
      </c>
      <c r="H84">
        <v>62780</v>
      </c>
    </row>
    <row r="85" spans="2:8" x14ac:dyDescent="0.25">
      <c r="B85" t="s">
        <v>117</v>
      </c>
      <c r="C85" t="s">
        <v>15</v>
      </c>
      <c r="D85">
        <v>20</v>
      </c>
      <c r="E85" t="s">
        <v>16</v>
      </c>
      <c r="F85" s="4">
        <v>44397</v>
      </c>
      <c r="G85" t="s">
        <v>12</v>
      </c>
      <c r="H85">
        <v>107700</v>
      </c>
    </row>
    <row r="86" spans="2:8" x14ac:dyDescent="0.25">
      <c r="B86" t="s">
        <v>168</v>
      </c>
      <c r="C86" t="s">
        <v>15</v>
      </c>
      <c r="D86">
        <v>25</v>
      </c>
      <c r="E86" t="s">
        <v>16</v>
      </c>
      <c r="F86" s="4">
        <v>44322</v>
      </c>
      <c r="G86" t="s">
        <v>19</v>
      </c>
      <c r="H86">
        <v>65700</v>
      </c>
    </row>
    <row r="87" spans="2:8" x14ac:dyDescent="0.25">
      <c r="B87" t="s">
        <v>135</v>
      </c>
      <c r="C87" t="s">
        <v>8</v>
      </c>
      <c r="D87">
        <v>33</v>
      </c>
      <c r="E87" t="s">
        <v>42</v>
      </c>
      <c r="F87" s="4">
        <v>44313</v>
      </c>
      <c r="G87" t="s">
        <v>12</v>
      </c>
      <c r="H87">
        <v>75480</v>
      </c>
    </row>
    <row r="88" spans="2:8" x14ac:dyDescent="0.25">
      <c r="B88" t="s">
        <v>174</v>
      </c>
      <c r="C88" t="s">
        <v>15</v>
      </c>
      <c r="D88">
        <v>33</v>
      </c>
      <c r="E88" t="s">
        <v>16</v>
      </c>
      <c r="F88" s="4">
        <v>44448</v>
      </c>
      <c r="G88" t="s">
        <v>12</v>
      </c>
      <c r="H88">
        <v>53870</v>
      </c>
    </row>
    <row r="89" spans="2:8" x14ac:dyDescent="0.25">
      <c r="B89" t="s">
        <v>141</v>
      </c>
      <c r="C89" t="s">
        <v>8</v>
      </c>
      <c r="D89">
        <v>36</v>
      </c>
      <c r="E89" t="s">
        <v>16</v>
      </c>
      <c r="F89" s="4">
        <v>44433</v>
      </c>
      <c r="G89" t="s">
        <v>19</v>
      </c>
      <c r="H89">
        <v>78540</v>
      </c>
    </row>
    <row r="90" spans="2:8" x14ac:dyDescent="0.25">
      <c r="B90" t="s">
        <v>193</v>
      </c>
      <c r="C90" t="s">
        <v>15</v>
      </c>
      <c r="D90">
        <v>19</v>
      </c>
      <c r="E90" t="s">
        <v>16</v>
      </c>
      <c r="F90" s="4">
        <v>44218</v>
      </c>
      <c r="G90" t="s">
        <v>9</v>
      </c>
      <c r="H90">
        <v>58960</v>
      </c>
    </row>
    <row r="91" spans="2:8" x14ac:dyDescent="0.25">
      <c r="B91" t="s">
        <v>162</v>
      </c>
      <c r="C91" t="s">
        <v>15</v>
      </c>
      <c r="D91">
        <v>46</v>
      </c>
      <c r="E91" t="s">
        <v>16</v>
      </c>
      <c r="F91" s="4">
        <v>44697</v>
      </c>
      <c r="G91" t="s">
        <v>9</v>
      </c>
      <c r="H91">
        <v>70610</v>
      </c>
    </row>
    <row r="92" spans="2:8" x14ac:dyDescent="0.25">
      <c r="B92" t="s">
        <v>171</v>
      </c>
      <c r="C92" t="s">
        <v>15</v>
      </c>
      <c r="D92">
        <v>33</v>
      </c>
      <c r="E92" t="s">
        <v>16</v>
      </c>
      <c r="F92" s="4">
        <v>44181</v>
      </c>
      <c r="G92" t="s">
        <v>21</v>
      </c>
      <c r="H92">
        <v>59430</v>
      </c>
    </row>
    <row r="93" spans="2:8" x14ac:dyDescent="0.25">
      <c r="B93" t="s">
        <v>144</v>
      </c>
      <c r="C93" t="s">
        <v>15</v>
      </c>
      <c r="D93">
        <v>33</v>
      </c>
      <c r="E93" t="s">
        <v>13</v>
      </c>
      <c r="F93" s="4">
        <v>44640</v>
      </c>
      <c r="G93" t="s">
        <v>9</v>
      </c>
      <c r="H93">
        <v>48530</v>
      </c>
    </row>
    <row r="94" spans="2:8" x14ac:dyDescent="0.25">
      <c r="B94" t="s">
        <v>163</v>
      </c>
      <c r="C94" t="s">
        <v>8</v>
      </c>
      <c r="D94">
        <v>33</v>
      </c>
      <c r="E94" t="s">
        <v>16</v>
      </c>
      <c r="F94" s="4">
        <v>44129</v>
      </c>
      <c r="G94" t="s">
        <v>12</v>
      </c>
      <c r="H94">
        <v>96140</v>
      </c>
    </row>
    <row r="95" spans="2:8" x14ac:dyDescent="0.25">
      <c r="B95" t="s">
        <v>156</v>
      </c>
      <c r="C95" t="s">
        <v>15</v>
      </c>
      <c r="D95">
        <v>20</v>
      </c>
      <c r="E95" t="s">
        <v>16</v>
      </c>
      <c r="F95" s="4">
        <v>44122</v>
      </c>
      <c r="G95" t="s">
        <v>12</v>
      </c>
      <c r="H95">
        <v>112650</v>
      </c>
    </row>
    <row r="96" spans="2:8" x14ac:dyDescent="0.25">
      <c r="B96" t="s">
        <v>176</v>
      </c>
      <c r="C96" t="s">
        <v>8</v>
      </c>
      <c r="D96">
        <v>32</v>
      </c>
      <c r="E96" t="s">
        <v>13</v>
      </c>
      <c r="F96" s="4">
        <v>44293</v>
      </c>
      <c r="G96" t="s">
        <v>12</v>
      </c>
      <c r="H96">
        <v>43840</v>
      </c>
    </row>
    <row r="97" spans="2:8" x14ac:dyDescent="0.25">
      <c r="B97" t="s">
        <v>143</v>
      </c>
      <c r="C97" t="s">
        <v>15</v>
      </c>
      <c r="D97">
        <v>31</v>
      </c>
      <c r="E97" t="s">
        <v>16</v>
      </c>
      <c r="F97" s="4">
        <v>44663</v>
      </c>
      <c r="G97" t="s">
        <v>9</v>
      </c>
      <c r="H97">
        <v>103550</v>
      </c>
    </row>
    <row r="98" spans="2:8" x14ac:dyDescent="0.25">
      <c r="B98" t="s">
        <v>201</v>
      </c>
      <c r="C98" t="s">
        <v>8</v>
      </c>
      <c r="D98">
        <v>32</v>
      </c>
      <c r="E98" t="s">
        <v>16</v>
      </c>
      <c r="F98" s="4">
        <v>44339</v>
      </c>
      <c r="G98" t="s">
        <v>56</v>
      </c>
      <c r="H98">
        <v>45510</v>
      </c>
    </row>
    <row r="99" spans="2:8" x14ac:dyDescent="0.25">
      <c r="B99" t="s">
        <v>142</v>
      </c>
      <c r="D99">
        <v>37</v>
      </c>
      <c r="E99" t="s">
        <v>24</v>
      </c>
      <c r="F99" s="4">
        <v>44085</v>
      </c>
      <c r="G99" t="s">
        <v>21</v>
      </c>
      <c r="H99">
        <v>115440</v>
      </c>
    </row>
    <row r="100" spans="2:8" x14ac:dyDescent="0.25">
      <c r="B100" t="s">
        <v>202</v>
      </c>
      <c r="C100" t="s">
        <v>8</v>
      </c>
      <c r="D100">
        <v>38</v>
      </c>
      <c r="E100" t="s">
        <v>13</v>
      </c>
      <c r="F100" s="4">
        <v>44268</v>
      </c>
      <c r="G100" t="s">
        <v>19</v>
      </c>
      <c r="H100">
        <v>56870</v>
      </c>
    </row>
    <row r="101" spans="2:8" x14ac:dyDescent="0.25">
      <c r="B101" t="s">
        <v>169</v>
      </c>
      <c r="C101" t="s">
        <v>8</v>
      </c>
      <c r="D101">
        <v>25</v>
      </c>
      <c r="E101" t="s">
        <v>16</v>
      </c>
      <c r="F101" s="4">
        <v>44144</v>
      </c>
      <c r="G101" t="s">
        <v>19</v>
      </c>
      <c r="H101">
        <v>92700</v>
      </c>
    </row>
    <row r="102" spans="2:8" x14ac:dyDescent="0.25">
      <c r="B102" t="s">
        <v>145</v>
      </c>
      <c r="D102">
        <v>32</v>
      </c>
      <c r="E102" t="s">
        <v>16</v>
      </c>
      <c r="F102" s="4">
        <v>44713</v>
      </c>
      <c r="G102" t="s">
        <v>12</v>
      </c>
      <c r="H102">
        <v>91310</v>
      </c>
    </row>
    <row r="103" spans="2:8" x14ac:dyDescent="0.25">
      <c r="B103" t="s">
        <v>115</v>
      </c>
      <c r="C103" t="s">
        <v>15</v>
      </c>
      <c r="D103">
        <v>33</v>
      </c>
      <c r="E103" t="s">
        <v>16</v>
      </c>
      <c r="F103" s="4">
        <v>44324</v>
      </c>
      <c r="G103" t="s">
        <v>19</v>
      </c>
      <c r="H103">
        <v>74550</v>
      </c>
    </row>
    <row r="104" spans="2:8" x14ac:dyDescent="0.25">
      <c r="B104" t="s">
        <v>128</v>
      </c>
      <c r="C104" t="s">
        <v>15</v>
      </c>
      <c r="D104">
        <v>25</v>
      </c>
      <c r="E104" t="s">
        <v>13</v>
      </c>
      <c r="F104" s="4">
        <v>44665</v>
      </c>
      <c r="G104" t="s">
        <v>9</v>
      </c>
      <c r="H104">
        <v>109190</v>
      </c>
    </row>
    <row r="105" spans="2:8" x14ac:dyDescent="0.25">
      <c r="B105" t="s">
        <v>194</v>
      </c>
      <c r="C105" t="s">
        <v>8</v>
      </c>
      <c r="D105">
        <v>40</v>
      </c>
      <c r="E105" t="s">
        <v>16</v>
      </c>
      <c r="F105" s="4">
        <v>44320</v>
      </c>
      <c r="G105" t="s">
        <v>12</v>
      </c>
      <c r="H105">
        <v>104410</v>
      </c>
    </row>
    <row r="106" spans="2:8" x14ac:dyDescent="0.25">
      <c r="B106" t="s">
        <v>177</v>
      </c>
      <c r="C106" t="s">
        <v>15</v>
      </c>
      <c r="D106">
        <v>30</v>
      </c>
      <c r="E106" t="s">
        <v>16</v>
      </c>
      <c r="F106" s="4">
        <v>44544</v>
      </c>
      <c r="G106" t="s">
        <v>21</v>
      </c>
      <c r="H106">
        <v>96800</v>
      </c>
    </row>
    <row r="107" spans="2:8" x14ac:dyDescent="0.25">
      <c r="B107" t="s">
        <v>123</v>
      </c>
      <c r="C107" t="s">
        <v>15</v>
      </c>
      <c r="D107">
        <v>28</v>
      </c>
      <c r="E107" t="s">
        <v>13</v>
      </c>
      <c r="F107" s="4">
        <v>43980</v>
      </c>
      <c r="G107" t="s">
        <v>21</v>
      </c>
      <c r="H107">
        <v>48170</v>
      </c>
    </row>
    <row r="108" spans="2:8" x14ac:dyDescent="0.25">
      <c r="B108" t="s">
        <v>140</v>
      </c>
      <c r="C108" t="s">
        <v>15</v>
      </c>
      <c r="D108">
        <v>21</v>
      </c>
      <c r="E108" t="s">
        <v>16</v>
      </c>
      <c r="F108" s="4">
        <v>44042</v>
      </c>
      <c r="G108" t="s">
        <v>9</v>
      </c>
      <c r="H108">
        <v>37920</v>
      </c>
    </row>
    <row r="109" spans="2:8" x14ac:dyDescent="0.25">
      <c r="B109" t="s">
        <v>178</v>
      </c>
      <c r="C109" t="s">
        <v>15</v>
      </c>
      <c r="D109">
        <v>34</v>
      </c>
      <c r="E109" t="s">
        <v>16</v>
      </c>
      <c r="F109" s="4">
        <v>44642</v>
      </c>
      <c r="G109" t="s">
        <v>9</v>
      </c>
      <c r="H109">
        <v>112650</v>
      </c>
    </row>
    <row r="110" spans="2:8" x14ac:dyDescent="0.25">
      <c r="B110" t="s">
        <v>165</v>
      </c>
      <c r="C110" t="s">
        <v>8</v>
      </c>
      <c r="D110">
        <v>34</v>
      </c>
      <c r="E110" t="s">
        <v>24</v>
      </c>
      <c r="F110" s="4">
        <v>44660</v>
      </c>
      <c r="G110" t="s">
        <v>19</v>
      </c>
      <c r="H110">
        <v>49630</v>
      </c>
    </row>
    <row r="111" spans="2:8" x14ac:dyDescent="0.25">
      <c r="B111" t="s">
        <v>199</v>
      </c>
      <c r="C111" t="s">
        <v>15</v>
      </c>
      <c r="D111">
        <v>36</v>
      </c>
      <c r="E111" t="s">
        <v>16</v>
      </c>
      <c r="F111" s="4">
        <v>43958</v>
      </c>
      <c r="G111" t="s">
        <v>12</v>
      </c>
      <c r="H111">
        <v>118840</v>
      </c>
    </row>
    <row r="112" spans="2:8" x14ac:dyDescent="0.25">
      <c r="B112" t="s">
        <v>159</v>
      </c>
      <c r="C112" t="s">
        <v>15</v>
      </c>
      <c r="D112">
        <v>30</v>
      </c>
      <c r="E112" t="s">
        <v>16</v>
      </c>
      <c r="F112" s="4">
        <v>44789</v>
      </c>
      <c r="G112" t="s">
        <v>12</v>
      </c>
      <c r="H112">
        <v>69710</v>
      </c>
    </row>
    <row r="113" spans="2:8" x14ac:dyDescent="0.25">
      <c r="B113" t="s">
        <v>197</v>
      </c>
      <c r="C113" t="s">
        <v>15</v>
      </c>
      <c r="D113">
        <v>20</v>
      </c>
      <c r="E113" t="s">
        <v>16</v>
      </c>
      <c r="F113" s="4">
        <v>44683</v>
      </c>
      <c r="G113" t="s">
        <v>9</v>
      </c>
      <c r="H113">
        <v>79570</v>
      </c>
    </row>
    <row r="114" spans="2:8" x14ac:dyDescent="0.25">
      <c r="B114" t="s">
        <v>154</v>
      </c>
      <c r="C114" t="s">
        <v>8</v>
      </c>
      <c r="D114">
        <v>22</v>
      </c>
      <c r="E114" t="s">
        <v>13</v>
      </c>
      <c r="F114" s="4">
        <v>44388</v>
      </c>
      <c r="G114" t="s">
        <v>9</v>
      </c>
      <c r="H114">
        <v>76900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F08DD-DD6C-42AE-BF40-F11344402BA8}">
  <dimension ref="A1:I102"/>
  <sheetViews>
    <sheetView topLeftCell="A37" zoomScale="160" zoomScaleNormal="160" workbookViewId="0">
      <selection activeCell="C15" sqref="C15"/>
    </sheetView>
  </sheetViews>
  <sheetFormatPr defaultRowHeight="15" x14ac:dyDescent="0.25"/>
  <cols>
    <col min="1" max="1" width="21.42578125" bestFit="1" customWidth="1"/>
    <col min="2" max="2" width="10" bestFit="1" customWidth="1"/>
    <col min="3" max="3" width="14" bestFit="1" customWidth="1"/>
    <col min="4" max="4" width="6.7109375" bestFit="1" customWidth="1"/>
    <col min="5" max="5" width="13.7109375" bestFit="1" customWidth="1"/>
    <col min="6" max="6" width="12.85546875" bestFit="1" customWidth="1"/>
    <col min="7" max="7" width="14.28515625" bestFit="1" customWidth="1"/>
  </cols>
  <sheetData>
    <row r="1" spans="1:9" x14ac:dyDescent="0.25">
      <c r="A1" t="s">
        <v>0</v>
      </c>
      <c r="B1" t="s">
        <v>1</v>
      </c>
      <c r="C1" t="s">
        <v>2</v>
      </c>
      <c r="D1" t="s">
        <v>3</v>
      </c>
      <c r="E1" s="4" t="s">
        <v>4</v>
      </c>
      <c r="F1" t="s">
        <v>5</v>
      </c>
      <c r="G1" t="s">
        <v>6</v>
      </c>
      <c r="I1" t="s">
        <v>226</v>
      </c>
    </row>
    <row r="2" spans="1:9" x14ac:dyDescent="0.25">
      <c r="A2" t="s">
        <v>58</v>
      </c>
      <c r="B2" t="s">
        <v>15</v>
      </c>
      <c r="C2" t="s">
        <v>19</v>
      </c>
      <c r="D2">
        <v>22</v>
      </c>
      <c r="E2" s="4">
        <v>44446</v>
      </c>
      <c r="F2" s="7">
        <v>112780</v>
      </c>
      <c r="G2" t="s">
        <v>13</v>
      </c>
    </row>
    <row r="3" spans="1:9" x14ac:dyDescent="0.25">
      <c r="A3" t="s">
        <v>70</v>
      </c>
      <c r="B3" t="s">
        <v>15</v>
      </c>
      <c r="C3" t="s">
        <v>9</v>
      </c>
      <c r="D3">
        <v>46</v>
      </c>
      <c r="E3" s="4">
        <v>44758</v>
      </c>
      <c r="F3" s="7">
        <v>70610</v>
      </c>
      <c r="G3" t="s">
        <v>16</v>
      </c>
    </row>
    <row r="4" spans="1:9" x14ac:dyDescent="0.25">
      <c r="A4" t="s">
        <v>75</v>
      </c>
      <c r="B4" t="s">
        <v>8</v>
      </c>
      <c r="C4" t="s">
        <v>19</v>
      </c>
      <c r="D4">
        <v>28</v>
      </c>
      <c r="E4" s="4">
        <v>44357</v>
      </c>
      <c r="F4" s="7">
        <v>53240</v>
      </c>
      <c r="G4" t="s">
        <v>16</v>
      </c>
    </row>
    <row r="5" spans="1:9" x14ac:dyDescent="0.25">
      <c r="A5" t="s">
        <v>49</v>
      </c>
      <c r="C5" t="s">
        <v>21</v>
      </c>
      <c r="D5">
        <v>37</v>
      </c>
      <c r="E5" s="4">
        <v>44146</v>
      </c>
      <c r="F5" s="7">
        <v>115440</v>
      </c>
      <c r="G5" t="s">
        <v>24</v>
      </c>
    </row>
    <row r="6" spans="1:9" x14ac:dyDescent="0.25">
      <c r="A6" t="s">
        <v>65</v>
      </c>
      <c r="B6" t="s">
        <v>15</v>
      </c>
      <c r="C6" t="s">
        <v>19</v>
      </c>
      <c r="D6">
        <v>32</v>
      </c>
      <c r="E6" s="4">
        <v>44465</v>
      </c>
      <c r="F6" s="7">
        <v>53540</v>
      </c>
      <c r="G6" t="s">
        <v>16</v>
      </c>
    </row>
    <row r="7" spans="1:9" x14ac:dyDescent="0.25">
      <c r="A7" t="s">
        <v>81</v>
      </c>
      <c r="B7" t="s">
        <v>8</v>
      </c>
      <c r="C7" t="s">
        <v>9</v>
      </c>
      <c r="D7">
        <v>30</v>
      </c>
      <c r="E7" s="4">
        <v>44861</v>
      </c>
      <c r="F7" s="7">
        <v>112570</v>
      </c>
      <c r="G7" t="s">
        <v>16</v>
      </c>
    </row>
    <row r="8" spans="1:9" x14ac:dyDescent="0.25">
      <c r="A8" t="s">
        <v>51</v>
      </c>
      <c r="B8" t="s">
        <v>15</v>
      </c>
      <c r="C8" t="s">
        <v>9</v>
      </c>
      <c r="D8">
        <v>33</v>
      </c>
      <c r="E8" s="4">
        <v>44701</v>
      </c>
      <c r="F8" s="7">
        <v>48530</v>
      </c>
      <c r="G8" t="s">
        <v>13</v>
      </c>
    </row>
    <row r="9" spans="1:9" x14ac:dyDescent="0.25">
      <c r="A9" t="s">
        <v>61</v>
      </c>
      <c r="B9" t="s">
        <v>8</v>
      </c>
      <c r="C9" t="s">
        <v>12</v>
      </c>
      <c r="D9">
        <v>24</v>
      </c>
      <c r="E9" s="4">
        <v>44148</v>
      </c>
      <c r="F9" s="7">
        <v>62780</v>
      </c>
      <c r="G9" t="s">
        <v>16</v>
      </c>
    </row>
    <row r="10" spans="1:9" x14ac:dyDescent="0.25">
      <c r="A10" t="s">
        <v>82</v>
      </c>
      <c r="B10" t="s">
        <v>15</v>
      </c>
      <c r="C10" t="s">
        <v>12</v>
      </c>
      <c r="D10">
        <v>33</v>
      </c>
      <c r="E10" s="4">
        <v>44509</v>
      </c>
      <c r="F10" s="7">
        <v>53870</v>
      </c>
      <c r="G10" t="s">
        <v>16</v>
      </c>
    </row>
    <row r="11" spans="1:9" x14ac:dyDescent="0.25">
      <c r="A11" t="s">
        <v>60</v>
      </c>
      <c r="B11" t="s">
        <v>8</v>
      </c>
      <c r="C11" t="s">
        <v>56</v>
      </c>
      <c r="D11">
        <v>27</v>
      </c>
      <c r="E11" s="4">
        <v>44122</v>
      </c>
      <c r="F11" s="7">
        <v>119110</v>
      </c>
      <c r="G11" t="s">
        <v>16</v>
      </c>
    </row>
    <row r="12" spans="1:9" x14ac:dyDescent="0.25">
      <c r="A12" t="s">
        <v>87</v>
      </c>
      <c r="B12" t="s">
        <v>15</v>
      </c>
      <c r="C12" t="s">
        <v>12</v>
      </c>
      <c r="D12">
        <v>29</v>
      </c>
      <c r="E12" s="4">
        <v>44180</v>
      </c>
      <c r="F12" s="7">
        <v>112110</v>
      </c>
      <c r="G12" t="s">
        <v>24</v>
      </c>
    </row>
    <row r="13" spans="1:9" x14ac:dyDescent="0.25">
      <c r="A13" t="s">
        <v>76</v>
      </c>
      <c r="B13" t="s">
        <v>15</v>
      </c>
      <c r="C13" t="s">
        <v>19</v>
      </c>
      <c r="D13">
        <v>25</v>
      </c>
      <c r="E13" s="4">
        <v>44383</v>
      </c>
      <c r="F13" s="7">
        <v>65700</v>
      </c>
      <c r="G13" t="s">
        <v>16</v>
      </c>
    </row>
    <row r="14" spans="1:9" x14ac:dyDescent="0.25">
      <c r="A14" t="s">
        <v>97</v>
      </c>
      <c r="B14" t="s">
        <v>15</v>
      </c>
      <c r="C14" t="s">
        <v>12</v>
      </c>
      <c r="D14">
        <v>37</v>
      </c>
      <c r="E14" s="4">
        <v>44701</v>
      </c>
      <c r="F14" s="7">
        <v>69070</v>
      </c>
      <c r="G14" t="s">
        <v>16</v>
      </c>
    </row>
    <row r="15" spans="1:9" x14ac:dyDescent="0.25">
      <c r="A15" t="s">
        <v>22</v>
      </c>
      <c r="B15" t="s">
        <v>15</v>
      </c>
      <c r="C15" t="s">
        <v>12</v>
      </c>
      <c r="D15">
        <v>20</v>
      </c>
      <c r="E15" s="4">
        <v>44459</v>
      </c>
      <c r="F15" s="7">
        <v>107700</v>
      </c>
      <c r="G15" t="s">
        <v>16</v>
      </c>
    </row>
    <row r="16" spans="1:9" x14ac:dyDescent="0.25">
      <c r="A16" t="s">
        <v>84</v>
      </c>
      <c r="B16" t="s">
        <v>8</v>
      </c>
      <c r="C16" t="s">
        <v>12</v>
      </c>
      <c r="D16">
        <v>32</v>
      </c>
      <c r="E16" s="4">
        <v>44354</v>
      </c>
      <c r="F16" s="7">
        <v>43840</v>
      </c>
      <c r="G16" t="s">
        <v>13</v>
      </c>
    </row>
    <row r="17" spans="1:7" x14ac:dyDescent="0.25">
      <c r="A17" t="s">
        <v>105</v>
      </c>
      <c r="B17" t="s">
        <v>15</v>
      </c>
      <c r="C17" t="s">
        <v>9</v>
      </c>
      <c r="D17">
        <v>40</v>
      </c>
      <c r="E17" s="4">
        <v>44263</v>
      </c>
      <c r="F17" s="7">
        <v>99750</v>
      </c>
      <c r="G17" t="s">
        <v>16</v>
      </c>
    </row>
    <row r="18" spans="1:7" x14ac:dyDescent="0.25">
      <c r="A18" t="s">
        <v>47</v>
      </c>
      <c r="B18" t="s">
        <v>15</v>
      </c>
      <c r="C18" t="s">
        <v>9</v>
      </c>
      <c r="D18">
        <v>21</v>
      </c>
      <c r="E18" s="4">
        <v>44104</v>
      </c>
      <c r="F18" s="7">
        <v>37920</v>
      </c>
      <c r="G18" t="s">
        <v>16</v>
      </c>
    </row>
    <row r="19" spans="1:7" x14ac:dyDescent="0.25">
      <c r="A19" t="s">
        <v>31</v>
      </c>
      <c r="B19" t="s">
        <v>15</v>
      </c>
      <c r="C19" t="s">
        <v>9</v>
      </c>
      <c r="D19">
        <v>21</v>
      </c>
      <c r="E19" s="4">
        <v>44762</v>
      </c>
      <c r="F19" s="7">
        <v>57090</v>
      </c>
      <c r="G19" t="s">
        <v>16</v>
      </c>
    </row>
    <row r="20" spans="1:7" x14ac:dyDescent="0.25">
      <c r="A20" t="s">
        <v>30</v>
      </c>
      <c r="B20" t="s">
        <v>8</v>
      </c>
      <c r="C20" t="s">
        <v>12</v>
      </c>
      <c r="D20">
        <v>31</v>
      </c>
      <c r="E20" s="4">
        <v>44145</v>
      </c>
      <c r="F20" s="7">
        <v>41980</v>
      </c>
      <c r="G20" t="s">
        <v>16</v>
      </c>
    </row>
    <row r="21" spans="1:7" x14ac:dyDescent="0.25">
      <c r="A21" t="s">
        <v>78</v>
      </c>
      <c r="B21" t="s">
        <v>15</v>
      </c>
      <c r="C21" t="s">
        <v>56</v>
      </c>
      <c r="D21">
        <v>21</v>
      </c>
      <c r="E21" s="4">
        <v>44242</v>
      </c>
      <c r="F21" s="7">
        <v>75880</v>
      </c>
      <c r="G21" t="s">
        <v>16</v>
      </c>
    </row>
    <row r="22" spans="1:7" x14ac:dyDescent="0.25">
      <c r="A22" t="s">
        <v>36</v>
      </c>
      <c r="B22" t="s">
        <v>8</v>
      </c>
      <c r="C22" t="s">
        <v>21</v>
      </c>
      <c r="D22">
        <v>34</v>
      </c>
      <c r="E22" s="4">
        <v>44653</v>
      </c>
      <c r="F22" s="7">
        <v>58940</v>
      </c>
      <c r="G22" t="s">
        <v>16</v>
      </c>
    </row>
    <row r="23" spans="1:7" x14ac:dyDescent="0.25">
      <c r="A23" t="s">
        <v>27</v>
      </c>
      <c r="B23" t="s">
        <v>8</v>
      </c>
      <c r="C23" t="s">
        <v>21</v>
      </c>
      <c r="D23">
        <v>30</v>
      </c>
      <c r="E23" s="4">
        <v>44389</v>
      </c>
      <c r="F23" s="7">
        <v>67910</v>
      </c>
      <c r="G23" t="s">
        <v>24</v>
      </c>
    </row>
    <row r="24" spans="1:7" x14ac:dyDescent="0.25">
      <c r="A24" t="s">
        <v>26</v>
      </c>
      <c r="B24" t="s">
        <v>8</v>
      </c>
      <c r="C24" t="s">
        <v>12</v>
      </c>
      <c r="D24">
        <v>31</v>
      </c>
      <c r="E24" s="4">
        <v>44663</v>
      </c>
      <c r="F24" s="7">
        <v>58100</v>
      </c>
      <c r="G24" t="s">
        <v>16</v>
      </c>
    </row>
    <row r="25" spans="1:7" x14ac:dyDescent="0.25">
      <c r="A25" t="s">
        <v>53</v>
      </c>
      <c r="B25" t="s">
        <v>15</v>
      </c>
      <c r="C25" t="s">
        <v>21</v>
      </c>
      <c r="D25">
        <v>27</v>
      </c>
      <c r="E25" s="4">
        <v>44567</v>
      </c>
      <c r="F25" s="7">
        <v>48980</v>
      </c>
      <c r="G25" t="s">
        <v>16</v>
      </c>
    </row>
    <row r="26" spans="1:7" x14ac:dyDescent="0.25">
      <c r="A26" t="s">
        <v>20</v>
      </c>
      <c r="C26" t="s">
        <v>21</v>
      </c>
      <c r="D26">
        <v>30</v>
      </c>
      <c r="E26" s="4">
        <v>44597</v>
      </c>
      <c r="F26" s="7">
        <v>64000</v>
      </c>
      <c r="G26" t="s">
        <v>16</v>
      </c>
    </row>
    <row r="27" spans="1:7" x14ac:dyDescent="0.25">
      <c r="A27" t="s">
        <v>7</v>
      </c>
      <c r="B27" t="s">
        <v>8</v>
      </c>
      <c r="C27" t="s">
        <v>9</v>
      </c>
      <c r="D27">
        <v>42</v>
      </c>
      <c r="E27" s="4">
        <v>44779</v>
      </c>
      <c r="F27" s="7">
        <v>75000</v>
      </c>
      <c r="G27" t="s">
        <v>10</v>
      </c>
    </row>
    <row r="28" spans="1:7" x14ac:dyDescent="0.25">
      <c r="A28" t="s">
        <v>74</v>
      </c>
      <c r="B28" t="s">
        <v>8</v>
      </c>
      <c r="C28" t="s">
        <v>12</v>
      </c>
      <c r="D28">
        <v>40</v>
      </c>
      <c r="E28" s="4">
        <v>44337</v>
      </c>
      <c r="F28" s="7">
        <v>87620</v>
      </c>
      <c r="G28" t="s">
        <v>16</v>
      </c>
    </row>
    <row r="29" spans="1:7" x14ac:dyDescent="0.25">
      <c r="A29" t="s">
        <v>44</v>
      </c>
      <c r="B29" t="s">
        <v>8</v>
      </c>
      <c r="C29" t="s">
        <v>12</v>
      </c>
      <c r="D29">
        <v>29</v>
      </c>
      <c r="E29" s="4">
        <v>44023</v>
      </c>
      <c r="F29" s="7">
        <v>34980</v>
      </c>
      <c r="G29" t="s">
        <v>16</v>
      </c>
    </row>
    <row r="30" spans="1:7" x14ac:dyDescent="0.25">
      <c r="A30" t="s">
        <v>35</v>
      </c>
      <c r="B30" t="s">
        <v>8</v>
      </c>
      <c r="C30" t="s">
        <v>21</v>
      </c>
      <c r="D30">
        <v>28</v>
      </c>
      <c r="E30" s="4">
        <v>44185</v>
      </c>
      <c r="F30" s="7">
        <v>75970</v>
      </c>
      <c r="G30" t="s">
        <v>16</v>
      </c>
    </row>
    <row r="31" spans="1:7" x14ac:dyDescent="0.25">
      <c r="A31" t="s">
        <v>38</v>
      </c>
      <c r="B31" t="s">
        <v>8</v>
      </c>
      <c r="C31" t="s">
        <v>21</v>
      </c>
      <c r="D31">
        <v>34</v>
      </c>
      <c r="E31" s="4">
        <v>44612</v>
      </c>
      <c r="F31" s="7">
        <v>60130</v>
      </c>
      <c r="G31" t="s">
        <v>16</v>
      </c>
    </row>
    <row r="32" spans="1:7" x14ac:dyDescent="0.25">
      <c r="A32" t="s">
        <v>41</v>
      </c>
      <c r="B32" t="s">
        <v>8</v>
      </c>
      <c r="C32" t="s">
        <v>12</v>
      </c>
      <c r="D32">
        <v>33</v>
      </c>
      <c r="E32" s="4">
        <v>44374</v>
      </c>
      <c r="F32" s="7">
        <v>75480</v>
      </c>
      <c r="G32" t="s">
        <v>42</v>
      </c>
    </row>
    <row r="33" spans="1:7" x14ac:dyDescent="0.25">
      <c r="A33" t="s">
        <v>40</v>
      </c>
      <c r="B33" t="s">
        <v>15</v>
      </c>
      <c r="C33" t="s">
        <v>9</v>
      </c>
      <c r="D33">
        <v>33</v>
      </c>
      <c r="E33" s="4">
        <v>44164</v>
      </c>
      <c r="F33" s="7">
        <v>115920</v>
      </c>
      <c r="G33" t="s">
        <v>16</v>
      </c>
    </row>
    <row r="34" spans="1:7" x14ac:dyDescent="0.25">
      <c r="A34" t="s">
        <v>48</v>
      </c>
      <c r="B34" t="s">
        <v>8</v>
      </c>
      <c r="C34" t="s">
        <v>19</v>
      </c>
      <c r="D34">
        <v>36</v>
      </c>
      <c r="E34" s="4">
        <v>44494</v>
      </c>
      <c r="F34" s="7">
        <v>78540</v>
      </c>
      <c r="G34" t="s">
        <v>16</v>
      </c>
    </row>
    <row r="35" spans="1:7" x14ac:dyDescent="0.25">
      <c r="A35" t="s">
        <v>34</v>
      </c>
      <c r="B35" t="s">
        <v>15</v>
      </c>
      <c r="C35" t="s">
        <v>9</v>
      </c>
      <c r="D35">
        <v>25</v>
      </c>
      <c r="E35" s="4">
        <v>44726</v>
      </c>
      <c r="F35" s="7">
        <v>109190</v>
      </c>
      <c r="G35" t="s">
        <v>13</v>
      </c>
    </row>
    <row r="36" spans="1:7" x14ac:dyDescent="0.25">
      <c r="A36" t="s">
        <v>73</v>
      </c>
      <c r="B36" t="s">
        <v>8</v>
      </c>
      <c r="C36" t="s">
        <v>19</v>
      </c>
      <c r="D36">
        <v>34</v>
      </c>
      <c r="E36" s="4">
        <v>44721</v>
      </c>
      <c r="F36" s="7">
        <v>49630</v>
      </c>
      <c r="G36" t="s">
        <v>24</v>
      </c>
    </row>
    <row r="37" spans="1:7" x14ac:dyDescent="0.25">
      <c r="A37" t="s">
        <v>107</v>
      </c>
      <c r="B37" t="s">
        <v>8</v>
      </c>
      <c r="C37" t="s">
        <v>9</v>
      </c>
      <c r="D37">
        <v>28</v>
      </c>
      <c r="E37" s="4">
        <v>44630</v>
      </c>
      <c r="F37" s="7">
        <v>99970</v>
      </c>
      <c r="G37" t="s">
        <v>16</v>
      </c>
    </row>
    <row r="38" spans="1:7" x14ac:dyDescent="0.25">
      <c r="A38" t="s">
        <v>71</v>
      </c>
      <c r="B38" t="s">
        <v>8</v>
      </c>
      <c r="C38" t="s">
        <v>12</v>
      </c>
      <c r="D38">
        <v>33</v>
      </c>
      <c r="E38" s="4">
        <v>44190</v>
      </c>
      <c r="F38" s="7">
        <v>96140</v>
      </c>
      <c r="G38" t="s">
        <v>16</v>
      </c>
    </row>
    <row r="39" spans="1:7" x14ac:dyDescent="0.25">
      <c r="A39" t="s">
        <v>50</v>
      </c>
      <c r="B39" t="s">
        <v>15</v>
      </c>
      <c r="C39" t="s">
        <v>9</v>
      </c>
      <c r="D39">
        <v>31</v>
      </c>
      <c r="E39" s="4">
        <v>44724</v>
      </c>
      <c r="F39" s="7">
        <v>103550</v>
      </c>
      <c r="G39" t="s">
        <v>16</v>
      </c>
    </row>
    <row r="40" spans="1:7" x14ac:dyDescent="0.25">
      <c r="A40" t="s">
        <v>14</v>
      </c>
      <c r="B40" t="s">
        <v>15</v>
      </c>
      <c r="C40" t="s">
        <v>12</v>
      </c>
      <c r="D40">
        <v>31</v>
      </c>
      <c r="E40" s="4">
        <v>44511</v>
      </c>
      <c r="F40" s="7">
        <v>48950</v>
      </c>
      <c r="G40" t="s">
        <v>16</v>
      </c>
    </row>
    <row r="41" spans="1:7" x14ac:dyDescent="0.25">
      <c r="A41" t="s">
        <v>63</v>
      </c>
      <c r="B41" t="s">
        <v>15</v>
      </c>
      <c r="C41" t="s">
        <v>21</v>
      </c>
      <c r="D41">
        <v>24</v>
      </c>
      <c r="E41" s="4">
        <v>44436</v>
      </c>
      <c r="F41" s="7">
        <v>52610</v>
      </c>
      <c r="G41" t="s">
        <v>24</v>
      </c>
    </row>
    <row r="42" spans="1:7" x14ac:dyDescent="0.25">
      <c r="A42" t="s">
        <v>72</v>
      </c>
      <c r="B42" t="s">
        <v>8</v>
      </c>
      <c r="C42" t="s">
        <v>9</v>
      </c>
      <c r="D42">
        <v>36</v>
      </c>
      <c r="E42" s="4">
        <v>44529</v>
      </c>
      <c r="F42" s="7">
        <v>78390</v>
      </c>
      <c r="G42" t="s">
        <v>16</v>
      </c>
    </row>
    <row r="43" spans="1:7" x14ac:dyDescent="0.25">
      <c r="A43" t="s">
        <v>88</v>
      </c>
      <c r="B43" t="s">
        <v>8</v>
      </c>
      <c r="C43" t="s">
        <v>21</v>
      </c>
      <c r="D43">
        <v>33</v>
      </c>
      <c r="E43" s="4">
        <v>44809</v>
      </c>
      <c r="F43" s="7">
        <v>86570</v>
      </c>
      <c r="G43" t="s">
        <v>16</v>
      </c>
    </row>
    <row r="44" spans="1:7" x14ac:dyDescent="0.25">
      <c r="A44" t="s">
        <v>92</v>
      </c>
      <c r="B44" t="s">
        <v>8</v>
      </c>
      <c r="C44" t="s">
        <v>12</v>
      </c>
      <c r="D44">
        <v>27</v>
      </c>
      <c r="E44" s="4">
        <v>44686</v>
      </c>
      <c r="F44" s="7">
        <v>83750</v>
      </c>
      <c r="G44" t="s">
        <v>16</v>
      </c>
    </row>
    <row r="45" spans="1:7" x14ac:dyDescent="0.25">
      <c r="A45" t="s">
        <v>102</v>
      </c>
      <c r="B45" t="s">
        <v>8</v>
      </c>
      <c r="C45" t="s">
        <v>21</v>
      </c>
      <c r="D45">
        <v>34</v>
      </c>
      <c r="E45" s="4">
        <v>44445</v>
      </c>
      <c r="F45" s="7">
        <v>92450</v>
      </c>
      <c r="G45" t="s">
        <v>16</v>
      </c>
    </row>
    <row r="46" spans="1:7" x14ac:dyDescent="0.25">
      <c r="A46" t="s">
        <v>64</v>
      </c>
      <c r="B46" t="s">
        <v>15</v>
      </c>
      <c r="C46" t="s">
        <v>12</v>
      </c>
      <c r="D46">
        <v>20</v>
      </c>
      <c r="E46" s="4">
        <v>44183</v>
      </c>
      <c r="F46" s="7">
        <v>112650</v>
      </c>
      <c r="G46" t="s">
        <v>16</v>
      </c>
    </row>
    <row r="47" spans="1:7" x14ac:dyDescent="0.25">
      <c r="A47" t="s">
        <v>104</v>
      </c>
      <c r="B47" t="s">
        <v>15</v>
      </c>
      <c r="C47" t="s">
        <v>9</v>
      </c>
      <c r="D47">
        <v>20</v>
      </c>
      <c r="E47" s="4">
        <v>44744</v>
      </c>
      <c r="F47" s="7">
        <v>79570</v>
      </c>
      <c r="G47" t="s">
        <v>16</v>
      </c>
    </row>
    <row r="48" spans="1:7" x14ac:dyDescent="0.25">
      <c r="A48" t="s">
        <v>91</v>
      </c>
      <c r="B48" t="s">
        <v>8</v>
      </c>
      <c r="C48" t="s">
        <v>19</v>
      </c>
      <c r="D48">
        <v>20</v>
      </c>
      <c r="E48" s="4">
        <v>44537</v>
      </c>
      <c r="F48" s="7">
        <v>68900</v>
      </c>
      <c r="G48" t="s">
        <v>24</v>
      </c>
    </row>
    <row r="49" spans="1:7" x14ac:dyDescent="0.25">
      <c r="A49" t="s">
        <v>39</v>
      </c>
      <c r="B49" t="s">
        <v>8</v>
      </c>
      <c r="C49" t="s">
        <v>12</v>
      </c>
      <c r="D49">
        <v>25</v>
      </c>
      <c r="E49" s="4">
        <v>44694</v>
      </c>
      <c r="F49" s="7">
        <v>80700</v>
      </c>
      <c r="G49" t="s">
        <v>13</v>
      </c>
    </row>
    <row r="50" spans="1:7" x14ac:dyDescent="0.25">
      <c r="A50" t="s">
        <v>100</v>
      </c>
      <c r="B50" t="s">
        <v>15</v>
      </c>
      <c r="C50" t="s">
        <v>9</v>
      </c>
      <c r="D50">
        <v>19</v>
      </c>
      <c r="E50" s="4">
        <v>44277</v>
      </c>
      <c r="F50" s="7">
        <v>58960</v>
      </c>
      <c r="G50" t="s">
        <v>16</v>
      </c>
    </row>
    <row r="51" spans="1:7" x14ac:dyDescent="0.25">
      <c r="A51" t="s">
        <v>106</v>
      </c>
      <c r="B51" t="s">
        <v>15</v>
      </c>
      <c r="C51" t="s">
        <v>12</v>
      </c>
      <c r="D51">
        <v>36</v>
      </c>
      <c r="E51" s="4">
        <v>44019</v>
      </c>
      <c r="F51" s="7">
        <v>118840</v>
      </c>
      <c r="G51" t="s">
        <v>16</v>
      </c>
    </row>
    <row r="52" spans="1:7" x14ac:dyDescent="0.25">
      <c r="A52" t="s">
        <v>29</v>
      </c>
      <c r="B52" t="s">
        <v>15</v>
      </c>
      <c r="C52" t="s">
        <v>21</v>
      </c>
      <c r="D52">
        <v>28</v>
      </c>
      <c r="E52" s="4">
        <v>44041</v>
      </c>
      <c r="F52" s="7">
        <v>48170</v>
      </c>
      <c r="G52" t="s">
        <v>13</v>
      </c>
    </row>
    <row r="53" spans="1:7" x14ac:dyDescent="0.25">
      <c r="A53" t="s">
        <v>108</v>
      </c>
      <c r="B53" t="s">
        <v>8</v>
      </c>
      <c r="C53" t="s">
        <v>56</v>
      </c>
      <c r="D53">
        <v>32</v>
      </c>
      <c r="E53" s="4">
        <v>44400</v>
      </c>
      <c r="F53" s="7">
        <v>45510</v>
      </c>
      <c r="G53" t="s">
        <v>16</v>
      </c>
    </row>
    <row r="54" spans="1:7" x14ac:dyDescent="0.25">
      <c r="A54" t="s">
        <v>64</v>
      </c>
      <c r="B54" t="s">
        <v>15</v>
      </c>
      <c r="C54" t="s">
        <v>9</v>
      </c>
      <c r="D54">
        <v>34</v>
      </c>
      <c r="E54" s="4">
        <v>44703</v>
      </c>
      <c r="F54" s="7">
        <v>112650</v>
      </c>
      <c r="G54" t="s">
        <v>16</v>
      </c>
    </row>
    <row r="55" spans="1:7" x14ac:dyDescent="0.25">
      <c r="A55" t="s">
        <v>83</v>
      </c>
      <c r="B55" t="s">
        <v>8</v>
      </c>
      <c r="C55" t="s">
        <v>9</v>
      </c>
      <c r="D55">
        <v>36</v>
      </c>
      <c r="E55" s="4">
        <v>44085</v>
      </c>
      <c r="F55" s="7">
        <v>114890</v>
      </c>
      <c r="G55" t="s">
        <v>16</v>
      </c>
    </row>
    <row r="56" spans="1:7" x14ac:dyDescent="0.25">
      <c r="A56" t="s">
        <v>67</v>
      </c>
      <c r="B56" t="s">
        <v>15</v>
      </c>
      <c r="C56" t="s">
        <v>12</v>
      </c>
      <c r="D56">
        <v>30</v>
      </c>
      <c r="E56" s="4">
        <v>44850</v>
      </c>
      <c r="F56" s="7">
        <v>69710</v>
      </c>
      <c r="G56" t="s">
        <v>16</v>
      </c>
    </row>
    <row r="57" spans="1:7" x14ac:dyDescent="0.25">
      <c r="A57" t="s">
        <v>94</v>
      </c>
      <c r="B57" t="s">
        <v>15</v>
      </c>
      <c r="C57" t="s">
        <v>21</v>
      </c>
      <c r="D57">
        <v>36</v>
      </c>
      <c r="E57" s="4">
        <v>44333</v>
      </c>
      <c r="F57" s="7">
        <v>71380</v>
      </c>
      <c r="G57" t="s">
        <v>16</v>
      </c>
    </row>
    <row r="58" spans="1:7" x14ac:dyDescent="0.25">
      <c r="A58" t="s">
        <v>33</v>
      </c>
      <c r="B58" t="s">
        <v>8</v>
      </c>
      <c r="C58" t="s">
        <v>19</v>
      </c>
      <c r="D58">
        <v>38</v>
      </c>
      <c r="E58" s="4">
        <v>44377</v>
      </c>
      <c r="F58" s="7">
        <v>109160</v>
      </c>
      <c r="G58" t="s">
        <v>10</v>
      </c>
    </row>
    <row r="59" spans="1:7" x14ac:dyDescent="0.25">
      <c r="A59" t="s">
        <v>98</v>
      </c>
      <c r="B59" t="s">
        <v>15</v>
      </c>
      <c r="C59" t="s">
        <v>9</v>
      </c>
      <c r="D59">
        <v>27</v>
      </c>
      <c r="E59" s="4">
        <v>44609</v>
      </c>
      <c r="F59" s="7">
        <v>113280</v>
      </c>
      <c r="G59" t="s">
        <v>42</v>
      </c>
    </row>
    <row r="60" spans="1:7" x14ac:dyDescent="0.25">
      <c r="A60" t="s">
        <v>25</v>
      </c>
      <c r="B60" t="s">
        <v>15</v>
      </c>
      <c r="C60" t="s">
        <v>12</v>
      </c>
      <c r="D60">
        <v>30</v>
      </c>
      <c r="E60" s="4">
        <v>44273</v>
      </c>
      <c r="F60" s="7">
        <v>69120</v>
      </c>
      <c r="G60" t="s">
        <v>16</v>
      </c>
    </row>
    <row r="61" spans="1:7" x14ac:dyDescent="0.25">
      <c r="A61" t="s">
        <v>55</v>
      </c>
      <c r="B61" t="s">
        <v>8</v>
      </c>
      <c r="C61" t="s">
        <v>56</v>
      </c>
      <c r="D61">
        <v>37</v>
      </c>
      <c r="E61" s="4">
        <v>44451</v>
      </c>
      <c r="F61" s="7">
        <v>118100</v>
      </c>
      <c r="G61" t="s">
        <v>16</v>
      </c>
    </row>
    <row r="62" spans="1:7" x14ac:dyDescent="0.25">
      <c r="A62" t="s">
        <v>62</v>
      </c>
      <c r="B62" t="s">
        <v>8</v>
      </c>
      <c r="C62" t="s">
        <v>9</v>
      </c>
      <c r="D62">
        <v>22</v>
      </c>
      <c r="E62" s="4">
        <v>44450</v>
      </c>
      <c r="F62" s="7">
        <v>76900</v>
      </c>
      <c r="G62" t="s">
        <v>13</v>
      </c>
    </row>
    <row r="63" spans="1:7" x14ac:dyDescent="0.25">
      <c r="A63" t="s">
        <v>17</v>
      </c>
      <c r="B63" t="s">
        <v>8</v>
      </c>
      <c r="C63" t="s">
        <v>12</v>
      </c>
      <c r="D63">
        <v>43</v>
      </c>
      <c r="E63" s="4">
        <v>45045</v>
      </c>
      <c r="F63" s="7">
        <v>114870</v>
      </c>
      <c r="G63" t="s">
        <v>16</v>
      </c>
    </row>
    <row r="64" spans="1:7" x14ac:dyDescent="0.25">
      <c r="A64" t="s">
        <v>52</v>
      </c>
      <c r="C64" t="s">
        <v>12</v>
      </c>
      <c r="D64">
        <v>32</v>
      </c>
      <c r="E64" s="4">
        <v>44774</v>
      </c>
      <c r="F64" s="7">
        <v>91310</v>
      </c>
      <c r="G64" t="s">
        <v>16</v>
      </c>
    </row>
    <row r="65" spans="1:7" x14ac:dyDescent="0.25">
      <c r="A65" t="s">
        <v>43</v>
      </c>
      <c r="B65" t="s">
        <v>8</v>
      </c>
      <c r="C65" t="s">
        <v>9</v>
      </c>
      <c r="D65">
        <v>28</v>
      </c>
      <c r="E65" s="4">
        <v>44486</v>
      </c>
      <c r="F65" s="7">
        <v>104770</v>
      </c>
      <c r="G65" t="s">
        <v>16</v>
      </c>
    </row>
    <row r="66" spans="1:7" x14ac:dyDescent="0.25">
      <c r="A66" t="s">
        <v>89</v>
      </c>
      <c r="B66" t="s">
        <v>15</v>
      </c>
      <c r="C66" t="s">
        <v>19</v>
      </c>
      <c r="D66">
        <v>27</v>
      </c>
      <c r="E66" s="4">
        <v>44134</v>
      </c>
      <c r="F66" s="7">
        <v>54970</v>
      </c>
      <c r="G66" t="s">
        <v>16</v>
      </c>
    </row>
    <row r="67" spans="1:7" x14ac:dyDescent="0.25">
      <c r="A67" t="s">
        <v>11</v>
      </c>
      <c r="C67" t="s">
        <v>12</v>
      </c>
      <c r="D67">
        <v>26</v>
      </c>
      <c r="E67" s="4">
        <v>44271</v>
      </c>
      <c r="F67" s="7">
        <v>90700</v>
      </c>
      <c r="G67" t="s">
        <v>13</v>
      </c>
    </row>
    <row r="68" spans="1:7" x14ac:dyDescent="0.25">
      <c r="A68" t="s">
        <v>109</v>
      </c>
      <c r="B68" t="s">
        <v>8</v>
      </c>
      <c r="C68" t="s">
        <v>19</v>
      </c>
      <c r="D68">
        <v>38</v>
      </c>
      <c r="E68" s="4">
        <v>44329</v>
      </c>
      <c r="F68" s="7">
        <v>56870</v>
      </c>
      <c r="G68" t="s">
        <v>13</v>
      </c>
    </row>
    <row r="69" spans="1:7" x14ac:dyDescent="0.25">
      <c r="A69" t="s">
        <v>77</v>
      </c>
      <c r="B69" t="s">
        <v>8</v>
      </c>
      <c r="C69" t="s">
        <v>19</v>
      </c>
      <c r="D69">
        <v>25</v>
      </c>
      <c r="E69" s="4">
        <v>44205</v>
      </c>
      <c r="F69" s="7">
        <v>92700</v>
      </c>
      <c r="G69" t="s">
        <v>16</v>
      </c>
    </row>
    <row r="70" spans="1:7" x14ac:dyDescent="0.25">
      <c r="A70" t="s">
        <v>32</v>
      </c>
      <c r="B70" t="s">
        <v>8</v>
      </c>
      <c r="C70" t="s">
        <v>21</v>
      </c>
      <c r="D70">
        <v>21</v>
      </c>
      <c r="E70" s="4">
        <v>44317</v>
      </c>
      <c r="F70" s="7">
        <v>65920</v>
      </c>
      <c r="G70" t="s">
        <v>16</v>
      </c>
    </row>
    <row r="71" spans="1:7" x14ac:dyDescent="0.25">
      <c r="A71" t="s">
        <v>59</v>
      </c>
      <c r="B71" t="s">
        <v>15</v>
      </c>
      <c r="C71" t="s">
        <v>9</v>
      </c>
      <c r="D71">
        <v>26</v>
      </c>
      <c r="E71" s="4">
        <v>44225</v>
      </c>
      <c r="F71" s="7">
        <v>47360</v>
      </c>
      <c r="G71" t="s">
        <v>16</v>
      </c>
    </row>
    <row r="72" spans="1:7" x14ac:dyDescent="0.25">
      <c r="A72" t="s">
        <v>37</v>
      </c>
      <c r="B72" t="s">
        <v>15</v>
      </c>
      <c r="C72" t="s">
        <v>9</v>
      </c>
      <c r="D72">
        <v>30</v>
      </c>
      <c r="E72" s="4">
        <v>44666</v>
      </c>
      <c r="F72" s="7">
        <v>60570</v>
      </c>
      <c r="G72" t="s">
        <v>16</v>
      </c>
    </row>
    <row r="73" spans="1:7" x14ac:dyDescent="0.25">
      <c r="A73" t="s">
        <v>96</v>
      </c>
      <c r="B73" t="s">
        <v>8</v>
      </c>
      <c r="C73" t="s">
        <v>9</v>
      </c>
      <c r="D73">
        <v>28</v>
      </c>
      <c r="E73" s="4">
        <v>44649</v>
      </c>
      <c r="F73" s="7">
        <v>104120</v>
      </c>
      <c r="G73" t="s">
        <v>16</v>
      </c>
    </row>
    <row r="74" spans="1:7" x14ac:dyDescent="0.25">
      <c r="A74" t="s">
        <v>23</v>
      </c>
      <c r="B74" t="s">
        <v>15</v>
      </c>
      <c r="C74" t="s">
        <v>12</v>
      </c>
      <c r="D74">
        <v>37</v>
      </c>
      <c r="E74" s="4">
        <v>44338</v>
      </c>
      <c r="F74" s="7">
        <v>88050</v>
      </c>
      <c r="G74" t="s">
        <v>24</v>
      </c>
    </row>
    <row r="75" spans="1:7" x14ac:dyDescent="0.25">
      <c r="A75" t="s">
        <v>103</v>
      </c>
      <c r="B75" t="s">
        <v>15</v>
      </c>
      <c r="C75" t="s">
        <v>12</v>
      </c>
      <c r="D75">
        <v>24</v>
      </c>
      <c r="E75" s="4">
        <v>44686</v>
      </c>
      <c r="F75" s="7">
        <v>100420</v>
      </c>
      <c r="G75" t="s">
        <v>16</v>
      </c>
    </row>
    <row r="76" spans="1:7" x14ac:dyDescent="0.25">
      <c r="A76" t="s">
        <v>54</v>
      </c>
      <c r="B76" t="s">
        <v>8</v>
      </c>
      <c r="C76" t="s">
        <v>9</v>
      </c>
      <c r="D76">
        <v>30</v>
      </c>
      <c r="E76" s="4">
        <v>44850</v>
      </c>
      <c r="F76" s="7">
        <v>114180</v>
      </c>
      <c r="G76" t="s">
        <v>16</v>
      </c>
    </row>
    <row r="77" spans="1:7" x14ac:dyDescent="0.25">
      <c r="A77" t="s">
        <v>86</v>
      </c>
      <c r="B77" t="s">
        <v>8</v>
      </c>
      <c r="C77" t="s">
        <v>12</v>
      </c>
      <c r="D77">
        <v>21</v>
      </c>
      <c r="E77" s="4">
        <v>44678</v>
      </c>
      <c r="F77" s="7">
        <v>33920</v>
      </c>
      <c r="G77" t="s">
        <v>16</v>
      </c>
    </row>
    <row r="78" spans="1:7" x14ac:dyDescent="0.25">
      <c r="A78" t="s">
        <v>69</v>
      </c>
      <c r="B78" t="s">
        <v>15</v>
      </c>
      <c r="C78" t="s">
        <v>9</v>
      </c>
      <c r="D78">
        <v>23</v>
      </c>
      <c r="E78" s="4">
        <v>44440</v>
      </c>
      <c r="F78" s="7">
        <v>106460</v>
      </c>
      <c r="G78" t="s">
        <v>16</v>
      </c>
    </row>
    <row r="79" spans="1:7" x14ac:dyDescent="0.25">
      <c r="A79" t="s">
        <v>57</v>
      </c>
      <c r="B79" t="s">
        <v>15</v>
      </c>
      <c r="C79" t="s">
        <v>9</v>
      </c>
      <c r="D79">
        <v>35</v>
      </c>
      <c r="E79" s="4">
        <v>44727</v>
      </c>
      <c r="F79" s="7">
        <v>40400</v>
      </c>
      <c r="G79" t="s">
        <v>16</v>
      </c>
    </row>
    <row r="80" spans="1:7" x14ac:dyDescent="0.25">
      <c r="A80" t="s">
        <v>68</v>
      </c>
      <c r="B80" t="s">
        <v>15</v>
      </c>
      <c r="C80" t="s">
        <v>21</v>
      </c>
      <c r="D80">
        <v>27</v>
      </c>
      <c r="E80" s="4">
        <v>44236</v>
      </c>
      <c r="F80" s="7">
        <v>91650</v>
      </c>
      <c r="G80" t="s">
        <v>13</v>
      </c>
    </row>
    <row r="81" spans="1:7" x14ac:dyDescent="0.25">
      <c r="A81" t="s">
        <v>99</v>
      </c>
      <c r="B81" t="s">
        <v>15</v>
      </c>
      <c r="C81" t="s">
        <v>19</v>
      </c>
      <c r="D81">
        <v>43</v>
      </c>
      <c r="E81" s="4">
        <v>44620</v>
      </c>
      <c r="F81" s="7">
        <v>36040</v>
      </c>
      <c r="G81" t="s">
        <v>16</v>
      </c>
    </row>
    <row r="82" spans="1:7" x14ac:dyDescent="0.25">
      <c r="A82" t="s">
        <v>101</v>
      </c>
      <c r="B82" t="s">
        <v>8</v>
      </c>
      <c r="C82" t="s">
        <v>12</v>
      </c>
      <c r="D82">
        <v>40</v>
      </c>
      <c r="E82" s="4">
        <v>44381</v>
      </c>
      <c r="F82" s="7">
        <v>104410</v>
      </c>
      <c r="G82" t="s">
        <v>16</v>
      </c>
    </row>
    <row r="83" spans="1:7" x14ac:dyDescent="0.25">
      <c r="A83" t="s">
        <v>85</v>
      </c>
      <c r="B83" t="s">
        <v>15</v>
      </c>
      <c r="C83" t="s">
        <v>21</v>
      </c>
      <c r="D83">
        <v>30</v>
      </c>
      <c r="E83" s="4">
        <v>44606</v>
      </c>
      <c r="F83" s="7">
        <v>96800</v>
      </c>
      <c r="G83" t="s">
        <v>16</v>
      </c>
    </row>
    <row r="84" spans="1:7" x14ac:dyDescent="0.25">
      <c r="A84" t="s">
        <v>28</v>
      </c>
      <c r="B84" t="s">
        <v>8</v>
      </c>
      <c r="C84" t="s">
        <v>21</v>
      </c>
      <c r="D84">
        <v>34</v>
      </c>
      <c r="E84" s="4">
        <v>44459</v>
      </c>
      <c r="F84" s="7">
        <v>85000</v>
      </c>
      <c r="G84" t="s">
        <v>16</v>
      </c>
    </row>
    <row r="85" spans="1:7" x14ac:dyDescent="0.25">
      <c r="A85" t="s">
        <v>80</v>
      </c>
      <c r="B85" t="s">
        <v>15</v>
      </c>
      <c r="C85" t="s">
        <v>19</v>
      </c>
      <c r="D85">
        <v>28</v>
      </c>
      <c r="E85" s="4">
        <v>44820</v>
      </c>
      <c r="F85" s="7">
        <v>43510</v>
      </c>
      <c r="G85" t="s">
        <v>42</v>
      </c>
    </row>
    <row r="86" spans="1:7" x14ac:dyDescent="0.25">
      <c r="A86" t="s">
        <v>79</v>
      </c>
      <c r="B86" t="s">
        <v>15</v>
      </c>
      <c r="C86" t="s">
        <v>21</v>
      </c>
      <c r="D86">
        <v>33</v>
      </c>
      <c r="E86" s="4">
        <v>44243</v>
      </c>
      <c r="F86" s="7">
        <v>59430</v>
      </c>
      <c r="G86" t="s">
        <v>16</v>
      </c>
    </row>
    <row r="87" spans="1:7" x14ac:dyDescent="0.25">
      <c r="A87" t="s">
        <v>93</v>
      </c>
      <c r="B87" t="s">
        <v>8</v>
      </c>
      <c r="C87" t="s">
        <v>21</v>
      </c>
      <c r="D87">
        <v>33</v>
      </c>
      <c r="E87" s="4">
        <v>44067</v>
      </c>
      <c r="F87" s="7">
        <v>65360</v>
      </c>
      <c r="G87" t="s">
        <v>16</v>
      </c>
    </row>
    <row r="88" spans="1:7" x14ac:dyDescent="0.25">
      <c r="A88" t="s">
        <v>66</v>
      </c>
      <c r="B88" t="s">
        <v>8</v>
      </c>
      <c r="C88" t="s">
        <v>9</v>
      </c>
      <c r="D88">
        <v>32</v>
      </c>
      <c r="E88" s="4">
        <v>44611</v>
      </c>
      <c r="F88" s="7">
        <v>41570</v>
      </c>
      <c r="G88" t="s">
        <v>16</v>
      </c>
    </row>
    <row r="89" spans="1:7" x14ac:dyDescent="0.25">
      <c r="A89" t="s">
        <v>95</v>
      </c>
      <c r="B89" t="s">
        <v>8</v>
      </c>
      <c r="C89" t="s">
        <v>12</v>
      </c>
      <c r="D89">
        <v>33</v>
      </c>
      <c r="E89" s="4">
        <v>44312</v>
      </c>
      <c r="F89" s="7">
        <v>75280</v>
      </c>
      <c r="G89" t="s">
        <v>16</v>
      </c>
    </row>
    <row r="90" spans="1:7" x14ac:dyDescent="0.25">
      <c r="A90" t="s">
        <v>18</v>
      </c>
      <c r="B90" t="s">
        <v>15</v>
      </c>
      <c r="C90" t="s">
        <v>19</v>
      </c>
      <c r="D90">
        <v>33</v>
      </c>
      <c r="E90" s="4">
        <v>44385</v>
      </c>
      <c r="F90" s="7">
        <v>74550</v>
      </c>
      <c r="G90" t="s">
        <v>16</v>
      </c>
    </row>
    <row r="91" spans="1:7" x14ac:dyDescent="0.25">
      <c r="A91" t="s">
        <v>45</v>
      </c>
      <c r="B91" t="s">
        <v>15</v>
      </c>
      <c r="C91" t="s">
        <v>9</v>
      </c>
      <c r="D91">
        <v>30</v>
      </c>
      <c r="E91" s="4">
        <v>44701</v>
      </c>
      <c r="F91" s="7">
        <v>67950</v>
      </c>
      <c r="G91" t="s">
        <v>16</v>
      </c>
    </row>
    <row r="92" spans="1:7" x14ac:dyDescent="0.25">
      <c r="A92" t="s">
        <v>90</v>
      </c>
      <c r="B92" t="s">
        <v>15</v>
      </c>
      <c r="C92" t="s">
        <v>21</v>
      </c>
      <c r="D92">
        <v>42</v>
      </c>
      <c r="E92" s="4">
        <v>44731</v>
      </c>
      <c r="F92" s="7">
        <v>70270</v>
      </c>
      <c r="G92" t="s">
        <v>24</v>
      </c>
    </row>
    <row r="93" spans="1:7" x14ac:dyDescent="0.25">
      <c r="A93" t="s">
        <v>46</v>
      </c>
      <c r="B93" t="s">
        <v>15</v>
      </c>
      <c r="C93" t="s">
        <v>9</v>
      </c>
      <c r="D93">
        <v>26</v>
      </c>
      <c r="E93" s="4">
        <v>44411</v>
      </c>
      <c r="F93" s="7">
        <v>53540</v>
      </c>
      <c r="G93" t="s">
        <v>16</v>
      </c>
    </row>
    <row r="94" spans="1:7" x14ac:dyDescent="0.25">
      <c r="A94" t="s">
        <v>58</v>
      </c>
      <c r="B94" t="s">
        <v>15</v>
      </c>
      <c r="C94" t="s">
        <v>19</v>
      </c>
      <c r="D94">
        <v>22</v>
      </c>
      <c r="E94" s="4">
        <v>44446</v>
      </c>
      <c r="F94" s="7">
        <v>112780</v>
      </c>
      <c r="G94" t="s">
        <v>13</v>
      </c>
    </row>
    <row r="95" spans="1:7" x14ac:dyDescent="0.25">
      <c r="A95" t="s">
        <v>70</v>
      </c>
      <c r="B95" t="s">
        <v>15</v>
      </c>
      <c r="C95" t="s">
        <v>9</v>
      </c>
      <c r="D95">
        <v>46</v>
      </c>
      <c r="E95" s="4">
        <v>44758</v>
      </c>
      <c r="F95" s="7">
        <v>70610</v>
      </c>
      <c r="G95" t="s">
        <v>16</v>
      </c>
    </row>
    <row r="96" spans="1:7" x14ac:dyDescent="0.25">
      <c r="A96" t="s">
        <v>75</v>
      </c>
      <c r="B96" t="s">
        <v>8</v>
      </c>
      <c r="C96" t="s">
        <v>19</v>
      </c>
      <c r="D96">
        <v>28</v>
      </c>
      <c r="E96" s="4">
        <v>44357</v>
      </c>
      <c r="F96" s="7">
        <v>53240</v>
      </c>
      <c r="G96" t="s">
        <v>16</v>
      </c>
    </row>
    <row r="97" spans="1:7" x14ac:dyDescent="0.25">
      <c r="A97" t="s">
        <v>49</v>
      </c>
      <c r="C97" t="s">
        <v>21</v>
      </c>
      <c r="D97">
        <v>37</v>
      </c>
      <c r="E97" s="4">
        <v>44146</v>
      </c>
      <c r="F97" s="7">
        <v>115440</v>
      </c>
      <c r="G97" t="s">
        <v>24</v>
      </c>
    </row>
    <row r="98" spans="1:7" x14ac:dyDescent="0.25">
      <c r="A98" t="s">
        <v>65</v>
      </c>
      <c r="B98" t="s">
        <v>15</v>
      </c>
      <c r="C98" t="s">
        <v>19</v>
      </c>
      <c r="D98">
        <v>32</v>
      </c>
      <c r="E98" s="4">
        <v>44465</v>
      </c>
      <c r="F98" s="7">
        <v>53540</v>
      </c>
      <c r="G98" t="s">
        <v>16</v>
      </c>
    </row>
    <row r="99" spans="1:7" x14ac:dyDescent="0.25">
      <c r="A99" t="s">
        <v>81</v>
      </c>
      <c r="B99" t="s">
        <v>8</v>
      </c>
      <c r="C99" t="s">
        <v>9</v>
      </c>
      <c r="D99">
        <v>30</v>
      </c>
      <c r="E99" s="4">
        <v>44861</v>
      </c>
      <c r="F99" s="7">
        <v>112570</v>
      </c>
      <c r="G99" t="s">
        <v>16</v>
      </c>
    </row>
    <row r="100" spans="1:7" x14ac:dyDescent="0.25">
      <c r="A100" t="s">
        <v>51</v>
      </c>
      <c r="B100" t="s">
        <v>15</v>
      </c>
      <c r="C100" t="s">
        <v>9</v>
      </c>
      <c r="D100">
        <v>33</v>
      </c>
      <c r="E100" s="4">
        <v>44701</v>
      </c>
      <c r="F100" s="7">
        <v>48530</v>
      </c>
      <c r="G100" t="s">
        <v>13</v>
      </c>
    </row>
    <row r="101" spans="1:7" x14ac:dyDescent="0.25">
      <c r="A101" t="s">
        <v>61</v>
      </c>
      <c r="B101" t="s">
        <v>8</v>
      </c>
      <c r="C101" t="s">
        <v>12</v>
      </c>
      <c r="D101">
        <v>24</v>
      </c>
      <c r="E101" s="4">
        <v>44148</v>
      </c>
      <c r="F101" s="7">
        <v>62780</v>
      </c>
      <c r="G101" t="s">
        <v>16</v>
      </c>
    </row>
    <row r="102" spans="1:7" x14ac:dyDescent="0.25">
      <c r="A102" t="s">
        <v>203</v>
      </c>
      <c r="D102">
        <f>SUBTOTAL(101,Table1[Age])</f>
        <v>30.52</v>
      </c>
      <c r="E102" s="6"/>
      <c r="F102" s="5">
        <f>SUBTOTAL(101,Table1[Salary])</f>
        <v>77472.100000000006</v>
      </c>
      <c r="G102">
        <f>SUBTOTAL(103,Table1[Rating])</f>
        <v>100</v>
      </c>
    </row>
  </sheetData>
  <conditionalFormatting sqref="A2:A101">
    <cfRule type="duplicateValues" dxfId="0" priority="1"/>
  </conditionalFormatting>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B9A0A-77A3-45CB-A934-6EF4E8E93C05}">
  <dimension ref="A1:G113"/>
  <sheetViews>
    <sheetView topLeftCell="A7" workbookViewId="0">
      <selection activeCell="C15" sqref="C15"/>
    </sheetView>
  </sheetViews>
  <sheetFormatPr defaultRowHeight="15" x14ac:dyDescent="0.25"/>
  <cols>
    <col min="1" max="1" width="30" bestFit="1" customWidth="1"/>
    <col min="2" max="2" width="10" bestFit="1" customWidth="1"/>
    <col min="3" max="3" width="6.7109375" bestFit="1" customWidth="1"/>
    <col min="4" max="4" width="14.28515625" bestFit="1" customWidth="1"/>
    <col min="5" max="5" width="13.7109375" bestFit="1" customWidth="1"/>
    <col min="6" max="6" width="14" bestFit="1" customWidth="1"/>
    <col min="7" max="7" width="8.5703125" bestFit="1" customWidth="1"/>
  </cols>
  <sheetData>
    <row r="1" spans="1:7" x14ac:dyDescent="0.25">
      <c r="A1" t="s">
        <v>0</v>
      </c>
      <c r="B1" t="s">
        <v>1</v>
      </c>
      <c r="C1" t="s">
        <v>3</v>
      </c>
      <c r="D1" t="s">
        <v>6</v>
      </c>
      <c r="E1" t="s">
        <v>4</v>
      </c>
      <c r="F1" t="s">
        <v>2</v>
      </c>
      <c r="G1" t="s">
        <v>5</v>
      </c>
    </row>
    <row r="2" spans="1:7" x14ac:dyDescent="0.25">
      <c r="A2" t="s">
        <v>156</v>
      </c>
      <c r="B2" t="s">
        <v>15</v>
      </c>
      <c r="C2">
        <v>20</v>
      </c>
      <c r="D2" t="s">
        <v>16</v>
      </c>
      <c r="E2" s="4">
        <v>44122</v>
      </c>
      <c r="F2" t="s">
        <v>12</v>
      </c>
      <c r="G2">
        <v>112650</v>
      </c>
    </row>
    <row r="3" spans="1:7" x14ac:dyDescent="0.25">
      <c r="A3" t="s">
        <v>176</v>
      </c>
      <c r="B3" t="s">
        <v>8</v>
      </c>
      <c r="C3">
        <v>32</v>
      </c>
      <c r="D3" t="s">
        <v>13</v>
      </c>
      <c r="E3" s="4">
        <v>44293</v>
      </c>
      <c r="F3" t="s">
        <v>12</v>
      </c>
      <c r="G3">
        <v>43840</v>
      </c>
    </row>
    <row r="4" spans="1:7" x14ac:dyDescent="0.25">
      <c r="A4" t="s">
        <v>143</v>
      </c>
      <c r="B4" t="s">
        <v>15</v>
      </c>
      <c r="C4">
        <v>31</v>
      </c>
      <c r="D4" t="s">
        <v>16</v>
      </c>
      <c r="E4" s="4">
        <v>44663</v>
      </c>
      <c r="F4" t="s">
        <v>9</v>
      </c>
      <c r="G4">
        <v>103550</v>
      </c>
    </row>
    <row r="5" spans="1:7" x14ac:dyDescent="0.25">
      <c r="A5" t="s">
        <v>201</v>
      </c>
      <c r="B5" t="s">
        <v>8</v>
      </c>
      <c r="C5">
        <v>32</v>
      </c>
      <c r="D5" t="s">
        <v>16</v>
      </c>
      <c r="E5" s="4">
        <v>44339</v>
      </c>
      <c r="F5" t="s">
        <v>56</v>
      </c>
      <c r="G5">
        <v>45510</v>
      </c>
    </row>
    <row r="6" spans="1:7" x14ac:dyDescent="0.25">
      <c r="A6" t="s">
        <v>142</v>
      </c>
      <c r="C6">
        <v>37</v>
      </c>
      <c r="D6" t="s">
        <v>24</v>
      </c>
      <c r="E6" s="4">
        <v>44085</v>
      </c>
      <c r="F6" t="s">
        <v>21</v>
      </c>
      <c r="G6">
        <v>115440</v>
      </c>
    </row>
    <row r="7" spans="1:7" x14ac:dyDescent="0.25">
      <c r="A7" t="s">
        <v>202</v>
      </c>
      <c r="B7" t="s">
        <v>8</v>
      </c>
      <c r="C7">
        <v>38</v>
      </c>
      <c r="D7" t="s">
        <v>13</v>
      </c>
      <c r="E7" s="4">
        <v>44268</v>
      </c>
      <c r="F7" t="s">
        <v>19</v>
      </c>
      <c r="G7">
        <v>56870</v>
      </c>
    </row>
    <row r="8" spans="1:7" x14ac:dyDescent="0.25">
      <c r="A8" t="s">
        <v>169</v>
      </c>
      <c r="B8" t="s">
        <v>8</v>
      </c>
      <c r="C8">
        <v>25</v>
      </c>
      <c r="D8" t="s">
        <v>16</v>
      </c>
      <c r="E8" s="4">
        <v>44144</v>
      </c>
      <c r="F8" t="s">
        <v>19</v>
      </c>
      <c r="G8">
        <v>92700</v>
      </c>
    </row>
    <row r="9" spans="1:7" x14ac:dyDescent="0.25">
      <c r="A9" t="s">
        <v>145</v>
      </c>
      <c r="C9">
        <v>32</v>
      </c>
      <c r="D9" t="s">
        <v>16</v>
      </c>
      <c r="E9" s="4">
        <v>44713</v>
      </c>
      <c r="F9" t="s">
        <v>12</v>
      </c>
      <c r="G9">
        <v>91310</v>
      </c>
    </row>
    <row r="10" spans="1:7" x14ac:dyDescent="0.25">
      <c r="A10" t="s">
        <v>115</v>
      </c>
      <c r="B10" t="s">
        <v>15</v>
      </c>
      <c r="C10">
        <v>33</v>
      </c>
      <c r="D10" t="s">
        <v>16</v>
      </c>
      <c r="E10" s="4">
        <v>44324</v>
      </c>
      <c r="F10" t="s">
        <v>19</v>
      </c>
      <c r="G10">
        <v>74550</v>
      </c>
    </row>
    <row r="11" spans="1:7" x14ac:dyDescent="0.25">
      <c r="A11" t="s">
        <v>128</v>
      </c>
      <c r="B11" t="s">
        <v>15</v>
      </c>
      <c r="C11">
        <v>25</v>
      </c>
      <c r="D11" t="s">
        <v>13</v>
      </c>
      <c r="E11" s="4">
        <v>44665</v>
      </c>
      <c r="F11" t="s">
        <v>9</v>
      </c>
      <c r="G11">
        <v>109190</v>
      </c>
    </row>
    <row r="12" spans="1:7" x14ac:dyDescent="0.25">
      <c r="A12" t="s">
        <v>194</v>
      </c>
      <c r="B12" t="s">
        <v>8</v>
      </c>
      <c r="C12">
        <v>40</v>
      </c>
      <c r="D12" t="s">
        <v>16</v>
      </c>
      <c r="E12" s="4">
        <v>44320</v>
      </c>
      <c r="F12" t="s">
        <v>12</v>
      </c>
      <c r="G12">
        <v>104410</v>
      </c>
    </row>
    <row r="13" spans="1:7" x14ac:dyDescent="0.25">
      <c r="A13" t="s">
        <v>177</v>
      </c>
      <c r="B13" t="s">
        <v>15</v>
      </c>
      <c r="C13">
        <v>30</v>
      </c>
      <c r="D13" t="s">
        <v>16</v>
      </c>
      <c r="E13" s="4">
        <v>44544</v>
      </c>
      <c r="F13" t="s">
        <v>21</v>
      </c>
      <c r="G13">
        <v>96800</v>
      </c>
    </row>
    <row r="14" spans="1:7" x14ac:dyDescent="0.25">
      <c r="A14" t="s">
        <v>123</v>
      </c>
      <c r="B14" t="s">
        <v>15</v>
      </c>
      <c r="C14">
        <v>28</v>
      </c>
      <c r="D14" t="s">
        <v>13</v>
      </c>
      <c r="E14" s="4">
        <v>43980</v>
      </c>
      <c r="F14" t="s">
        <v>21</v>
      </c>
      <c r="G14">
        <v>48170</v>
      </c>
    </row>
    <row r="15" spans="1:7" x14ac:dyDescent="0.25">
      <c r="A15" t="s">
        <v>140</v>
      </c>
      <c r="B15" t="s">
        <v>15</v>
      </c>
      <c r="C15">
        <v>21</v>
      </c>
      <c r="D15" t="s">
        <v>16</v>
      </c>
      <c r="E15" s="4">
        <v>44042</v>
      </c>
      <c r="F15" t="s">
        <v>9</v>
      </c>
      <c r="G15">
        <v>37920</v>
      </c>
    </row>
    <row r="16" spans="1:7" x14ac:dyDescent="0.25">
      <c r="A16" t="s">
        <v>178</v>
      </c>
      <c r="B16" t="s">
        <v>15</v>
      </c>
      <c r="C16">
        <v>34</v>
      </c>
      <c r="D16" t="s">
        <v>16</v>
      </c>
      <c r="E16" s="4">
        <v>44642</v>
      </c>
      <c r="F16" t="s">
        <v>9</v>
      </c>
      <c r="G16">
        <v>112650</v>
      </c>
    </row>
    <row r="17" spans="1:7" x14ac:dyDescent="0.25">
      <c r="A17" t="s">
        <v>165</v>
      </c>
      <c r="B17" t="s">
        <v>8</v>
      </c>
      <c r="C17">
        <v>34</v>
      </c>
      <c r="D17" t="s">
        <v>24</v>
      </c>
      <c r="E17" s="4">
        <v>44660</v>
      </c>
      <c r="F17" t="s">
        <v>19</v>
      </c>
      <c r="G17">
        <v>49630</v>
      </c>
    </row>
    <row r="18" spans="1:7" x14ac:dyDescent="0.25">
      <c r="A18" t="s">
        <v>199</v>
      </c>
      <c r="B18" t="s">
        <v>15</v>
      </c>
      <c r="C18">
        <v>36</v>
      </c>
      <c r="D18" t="s">
        <v>16</v>
      </c>
      <c r="E18" s="4">
        <v>43958</v>
      </c>
      <c r="F18" t="s">
        <v>12</v>
      </c>
      <c r="G18">
        <v>118840</v>
      </c>
    </row>
    <row r="19" spans="1:7" x14ac:dyDescent="0.25">
      <c r="A19" t="s">
        <v>159</v>
      </c>
      <c r="B19" t="s">
        <v>15</v>
      </c>
      <c r="C19">
        <v>30</v>
      </c>
      <c r="D19" t="s">
        <v>16</v>
      </c>
      <c r="E19" s="4">
        <v>44789</v>
      </c>
      <c r="F19" t="s">
        <v>12</v>
      </c>
      <c r="G19">
        <v>69710</v>
      </c>
    </row>
    <row r="20" spans="1:7" x14ac:dyDescent="0.25">
      <c r="A20" t="s">
        <v>197</v>
      </c>
      <c r="B20" t="s">
        <v>15</v>
      </c>
      <c r="C20">
        <v>20</v>
      </c>
      <c r="D20" t="s">
        <v>16</v>
      </c>
      <c r="E20" s="4">
        <v>44683</v>
      </c>
      <c r="F20" t="s">
        <v>9</v>
      </c>
      <c r="G20">
        <v>79570</v>
      </c>
    </row>
    <row r="21" spans="1:7" x14ac:dyDescent="0.25">
      <c r="A21" t="s">
        <v>154</v>
      </c>
      <c r="B21" t="s">
        <v>8</v>
      </c>
      <c r="C21">
        <v>22</v>
      </c>
      <c r="D21" t="s">
        <v>13</v>
      </c>
      <c r="E21" s="4">
        <v>44388</v>
      </c>
      <c r="F21" t="s">
        <v>9</v>
      </c>
      <c r="G21">
        <v>76900</v>
      </c>
    </row>
    <row r="22" spans="1:7" x14ac:dyDescent="0.25">
      <c r="A22" t="s">
        <v>182</v>
      </c>
      <c r="B22" t="s">
        <v>15</v>
      </c>
      <c r="C22">
        <v>27</v>
      </c>
      <c r="D22" t="s">
        <v>16</v>
      </c>
      <c r="E22" s="4">
        <v>44073</v>
      </c>
      <c r="F22" t="s">
        <v>19</v>
      </c>
      <c r="G22">
        <v>54970</v>
      </c>
    </row>
    <row r="23" spans="1:7" x14ac:dyDescent="0.25">
      <c r="A23" t="s">
        <v>118</v>
      </c>
      <c r="B23" t="s">
        <v>15</v>
      </c>
      <c r="C23">
        <v>37</v>
      </c>
      <c r="D23" t="s">
        <v>24</v>
      </c>
      <c r="E23" s="4">
        <v>44277</v>
      </c>
      <c r="F23" t="s">
        <v>12</v>
      </c>
      <c r="G23">
        <v>88050</v>
      </c>
    </row>
    <row r="24" spans="1:7" x14ac:dyDescent="0.25">
      <c r="A24" t="s">
        <v>192</v>
      </c>
      <c r="B24" t="s">
        <v>15</v>
      </c>
      <c r="C24">
        <v>43</v>
      </c>
      <c r="D24" t="s">
        <v>16</v>
      </c>
      <c r="E24" s="4">
        <v>44558</v>
      </c>
      <c r="F24" t="s">
        <v>19</v>
      </c>
      <c r="G24">
        <v>36040</v>
      </c>
    </row>
    <row r="25" spans="1:7" x14ac:dyDescent="0.25">
      <c r="A25" t="s">
        <v>111</v>
      </c>
      <c r="B25" t="s">
        <v>8</v>
      </c>
      <c r="C25">
        <v>42</v>
      </c>
      <c r="D25" t="s">
        <v>10</v>
      </c>
      <c r="E25" s="4">
        <v>44718</v>
      </c>
      <c r="F25" t="s">
        <v>9</v>
      </c>
      <c r="G25">
        <v>75000</v>
      </c>
    </row>
    <row r="26" spans="1:7" x14ac:dyDescent="0.25">
      <c r="A26" t="s">
        <v>149</v>
      </c>
      <c r="B26" t="s">
        <v>15</v>
      </c>
      <c r="C26">
        <v>35</v>
      </c>
      <c r="D26" t="s">
        <v>16</v>
      </c>
      <c r="E26" s="4">
        <v>44666</v>
      </c>
      <c r="F26" t="s">
        <v>9</v>
      </c>
      <c r="G26">
        <v>40400</v>
      </c>
    </row>
    <row r="27" spans="1:7" x14ac:dyDescent="0.25">
      <c r="A27" t="s">
        <v>196</v>
      </c>
      <c r="B27" t="s">
        <v>15</v>
      </c>
      <c r="C27">
        <v>24</v>
      </c>
      <c r="D27" t="s">
        <v>16</v>
      </c>
      <c r="E27" s="4">
        <v>44625</v>
      </c>
      <c r="F27" t="s">
        <v>12</v>
      </c>
      <c r="G27">
        <v>100420</v>
      </c>
    </row>
    <row r="28" spans="1:7" x14ac:dyDescent="0.25">
      <c r="A28" t="s">
        <v>120</v>
      </c>
      <c r="B28" t="s">
        <v>8</v>
      </c>
      <c r="C28">
        <v>31</v>
      </c>
      <c r="D28" t="s">
        <v>16</v>
      </c>
      <c r="E28" s="4">
        <v>44604</v>
      </c>
      <c r="F28" t="s">
        <v>12</v>
      </c>
      <c r="G28">
        <v>58100</v>
      </c>
    </row>
    <row r="29" spans="1:7" x14ac:dyDescent="0.25">
      <c r="A29" t="s">
        <v>114</v>
      </c>
      <c r="B29" t="s">
        <v>8</v>
      </c>
      <c r="C29">
        <v>44</v>
      </c>
      <c r="D29" t="s">
        <v>16</v>
      </c>
      <c r="E29" s="4">
        <v>44985</v>
      </c>
      <c r="F29" t="s">
        <v>12</v>
      </c>
      <c r="G29">
        <v>114870</v>
      </c>
    </row>
    <row r="30" spans="1:7" x14ac:dyDescent="0.25">
      <c r="A30" t="s">
        <v>158</v>
      </c>
      <c r="B30" t="s">
        <v>8</v>
      </c>
      <c r="C30">
        <v>32</v>
      </c>
      <c r="D30" t="s">
        <v>16</v>
      </c>
      <c r="E30" s="4">
        <v>44549</v>
      </c>
      <c r="F30" t="s">
        <v>9</v>
      </c>
      <c r="G30">
        <v>41570</v>
      </c>
    </row>
    <row r="31" spans="1:7" x14ac:dyDescent="0.25">
      <c r="A31" t="s">
        <v>173</v>
      </c>
      <c r="B31" t="s">
        <v>8</v>
      </c>
      <c r="C31">
        <v>30</v>
      </c>
      <c r="D31" t="s">
        <v>16</v>
      </c>
      <c r="E31" s="4">
        <v>44800</v>
      </c>
      <c r="F31" t="s">
        <v>9</v>
      </c>
      <c r="G31">
        <v>112570</v>
      </c>
    </row>
    <row r="32" spans="1:7" x14ac:dyDescent="0.25">
      <c r="A32" t="s">
        <v>151</v>
      </c>
      <c r="B32" t="s">
        <v>15</v>
      </c>
      <c r="C32">
        <v>26</v>
      </c>
      <c r="D32" t="s">
        <v>16</v>
      </c>
      <c r="E32" s="4">
        <v>44164</v>
      </c>
      <c r="F32" t="s">
        <v>9</v>
      </c>
      <c r="G32">
        <v>47360</v>
      </c>
    </row>
    <row r="33" spans="1:7" x14ac:dyDescent="0.25">
      <c r="A33" t="s">
        <v>126</v>
      </c>
      <c r="B33" t="s">
        <v>8</v>
      </c>
      <c r="C33">
        <v>21</v>
      </c>
      <c r="D33" t="s">
        <v>16</v>
      </c>
      <c r="E33" s="4">
        <v>44256</v>
      </c>
      <c r="F33" t="s">
        <v>21</v>
      </c>
      <c r="G33">
        <v>65920</v>
      </c>
    </row>
    <row r="34" spans="1:7" x14ac:dyDescent="0.25">
      <c r="A34" t="s">
        <v>200</v>
      </c>
      <c r="B34" t="s">
        <v>8</v>
      </c>
      <c r="C34">
        <v>28</v>
      </c>
      <c r="D34" t="s">
        <v>16</v>
      </c>
      <c r="E34" s="4">
        <v>44571</v>
      </c>
      <c r="F34" t="s">
        <v>9</v>
      </c>
      <c r="G34">
        <v>99970</v>
      </c>
    </row>
    <row r="35" spans="1:7" x14ac:dyDescent="0.25">
      <c r="A35" t="s">
        <v>133</v>
      </c>
      <c r="B35" t="s">
        <v>8</v>
      </c>
      <c r="C35">
        <v>25</v>
      </c>
      <c r="D35" t="s">
        <v>13</v>
      </c>
      <c r="E35" s="4">
        <v>44633</v>
      </c>
      <c r="F35" t="s">
        <v>12</v>
      </c>
      <c r="G35">
        <v>80700</v>
      </c>
    </row>
    <row r="36" spans="1:7" x14ac:dyDescent="0.25">
      <c r="A36" t="s">
        <v>155</v>
      </c>
      <c r="B36" t="s">
        <v>15</v>
      </c>
      <c r="C36">
        <v>24</v>
      </c>
      <c r="D36" t="s">
        <v>24</v>
      </c>
      <c r="E36" s="4">
        <v>44375</v>
      </c>
      <c r="F36" t="s">
        <v>21</v>
      </c>
      <c r="G36">
        <v>52610</v>
      </c>
    </row>
    <row r="37" spans="1:7" x14ac:dyDescent="0.25">
      <c r="A37" t="s">
        <v>180</v>
      </c>
      <c r="B37" t="s">
        <v>15</v>
      </c>
      <c r="C37">
        <v>29</v>
      </c>
      <c r="D37" t="s">
        <v>24</v>
      </c>
      <c r="E37" s="4">
        <v>44119</v>
      </c>
      <c r="F37" t="s">
        <v>12</v>
      </c>
      <c r="G37">
        <v>112110</v>
      </c>
    </row>
    <row r="38" spans="1:7" x14ac:dyDescent="0.25">
      <c r="A38" t="s">
        <v>152</v>
      </c>
      <c r="B38" t="s">
        <v>8</v>
      </c>
      <c r="C38">
        <v>27</v>
      </c>
      <c r="D38" t="s">
        <v>16</v>
      </c>
      <c r="E38" s="4">
        <v>44061</v>
      </c>
      <c r="F38" t="s">
        <v>56</v>
      </c>
      <c r="G38">
        <v>119110</v>
      </c>
    </row>
    <row r="39" spans="1:7" x14ac:dyDescent="0.25">
      <c r="A39" t="s">
        <v>150</v>
      </c>
      <c r="B39" t="s">
        <v>15</v>
      </c>
      <c r="C39">
        <v>22</v>
      </c>
      <c r="D39" t="s">
        <v>13</v>
      </c>
      <c r="E39" s="4">
        <v>44384</v>
      </c>
      <c r="F39" t="s">
        <v>19</v>
      </c>
      <c r="G39">
        <v>112780</v>
      </c>
    </row>
    <row r="40" spans="1:7" x14ac:dyDescent="0.25">
      <c r="A40" t="s">
        <v>175</v>
      </c>
      <c r="B40" t="s">
        <v>8</v>
      </c>
      <c r="C40">
        <v>36</v>
      </c>
      <c r="D40" t="s">
        <v>16</v>
      </c>
      <c r="E40" s="4">
        <v>44023</v>
      </c>
      <c r="F40" t="s">
        <v>9</v>
      </c>
      <c r="G40">
        <v>114890</v>
      </c>
    </row>
    <row r="41" spans="1:7" x14ac:dyDescent="0.25">
      <c r="A41" t="s">
        <v>146</v>
      </c>
      <c r="B41" t="s">
        <v>15</v>
      </c>
      <c r="C41">
        <v>27</v>
      </c>
      <c r="D41" t="s">
        <v>16</v>
      </c>
      <c r="E41" s="4">
        <v>44506</v>
      </c>
      <c r="F41" t="s">
        <v>21</v>
      </c>
      <c r="G41">
        <v>48980</v>
      </c>
    </row>
    <row r="42" spans="1:7" x14ac:dyDescent="0.25">
      <c r="A42" t="s">
        <v>170</v>
      </c>
      <c r="B42" t="s">
        <v>15</v>
      </c>
      <c r="C42">
        <v>21</v>
      </c>
      <c r="D42" t="s">
        <v>16</v>
      </c>
      <c r="E42" s="4">
        <v>44180</v>
      </c>
      <c r="F42" t="s">
        <v>56</v>
      </c>
      <c r="G42">
        <v>75880</v>
      </c>
    </row>
    <row r="43" spans="1:7" x14ac:dyDescent="0.25">
      <c r="A43" t="s">
        <v>167</v>
      </c>
      <c r="B43" t="s">
        <v>8</v>
      </c>
      <c r="C43">
        <v>28</v>
      </c>
      <c r="D43" t="s">
        <v>16</v>
      </c>
      <c r="E43" s="4">
        <v>44296</v>
      </c>
      <c r="F43" t="s">
        <v>19</v>
      </c>
      <c r="G43">
        <v>53240</v>
      </c>
    </row>
    <row r="44" spans="1:7" x14ac:dyDescent="0.25">
      <c r="A44" t="s">
        <v>122</v>
      </c>
      <c r="B44" t="s">
        <v>8</v>
      </c>
      <c r="C44">
        <v>34</v>
      </c>
      <c r="D44" t="s">
        <v>16</v>
      </c>
      <c r="E44" s="4">
        <v>44397</v>
      </c>
      <c r="F44" t="s">
        <v>21</v>
      </c>
      <c r="G44">
        <v>85000</v>
      </c>
    </row>
    <row r="45" spans="1:7" x14ac:dyDescent="0.25">
      <c r="A45" t="s">
        <v>179</v>
      </c>
      <c r="B45" t="s">
        <v>8</v>
      </c>
      <c r="C45">
        <v>21</v>
      </c>
      <c r="D45" t="s">
        <v>16</v>
      </c>
      <c r="E45" s="4">
        <v>44619</v>
      </c>
      <c r="F45" t="s">
        <v>12</v>
      </c>
      <c r="G45">
        <v>33920</v>
      </c>
    </row>
    <row r="46" spans="1:7" x14ac:dyDescent="0.25">
      <c r="A46" t="s">
        <v>188</v>
      </c>
      <c r="B46" t="s">
        <v>8</v>
      </c>
      <c r="C46">
        <v>33</v>
      </c>
      <c r="D46" t="s">
        <v>16</v>
      </c>
      <c r="E46" s="4">
        <v>44253</v>
      </c>
      <c r="F46" t="s">
        <v>12</v>
      </c>
      <c r="G46">
        <v>75280</v>
      </c>
    </row>
    <row r="47" spans="1:7" x14ac:dyDescent="0.25">
      <c r="A47" t="s">
        <v>130</v>
      </c>
      <c r="B47" t="s">
        <v>8</v>
      </c>
      <c r="C47">
        <v>34</v>
      </c>
      <c r="D47" t="s">
        <v>16</v>
      </c>
      <c r="E47" s="4">
        <v>44594</v>
      </c>
      <c r="F47" t="s">
        <v>21</v>
      </c>
      <c r="G47">
        <v>58940</v>
      </c>
    </row>
    <row r="48" spans="1:7" x14ac:dyDescent="0.25">
      <c r="A48" t="s">
        <v>136</v>
      </c>
      <c r="B48" t="s">
        <v>8</v>
      </c>
      <c r="C48">
        <v>28</v>
      </c>
      <c r="D48" t="s">
        <v>16</v>
      </c>
      <c r="E48" s="4">
        <v>44425</v>
      </c>
      <c r="F48" t="s">
        <v>9</v>
      </c>
      <c r="G48">
        <v>104770</v>
      </c>
    </row>
    <row r="49" spans="1:7" x14ac:dyDescent="0.25">
      <c r="A49" t="s">
        <v>125</v>
      </c>
      <c r="B49" t="s">
        <v>15</v>
      </c>
      <c r="C49">
        <v>21</v>
      </c>
      <c r="D49" t="s">
        <v>16</v>
      </c>
      <c r="E49" s="4">
        <v>44701</v>
      </c>
      <c r="F49" t="s">
        <v>9</v>
      </c>
      <c r="G49">
        <v>57090</v>
      </c>
    </row>
    <row r="50" spans="1:7" x14ac:dyDescent="0.25">
      <c r="A50" t="s">
        <v>160</v>
      </c>
      <c r="B50" t="s">
        <v>15</v>
      </c>
      <c r="C50">
        <v>27</v>
      </c>
      <c r="D50" t="s">
        <v>13</v>
      </c>
      <c r="E50" s="4">
        <v>44174</v>
      </c>
      <c r="F50" t="s">
        <v>21</v>
      </c>
      <c r="G50">
        <v>91650</v>
      </c>
    </row>
    <row r="51" spans="1:7" x14ac:dyDescent="0.25">
      <c r="A51" t="s">
        <v>183</v>
      </c>
      <c r="B51" t="s">
        <v>15</v>
      </c>
      <c r="C51">
        <v>42</v>
      </c>
      <c r="D51" t="s">
        <v>24</v>
      </c>
      <c r="E51" s="4">
        <v>44670</v>
      </c>
      <c r="F51" t="s">
        <v>21</v>
      </c>
      <c r="G51">
        <v>70270</v>
      </c>
    </row>
    <row r="52" spans="1:7" x14ac:dyDescent="0.25">
      <c r="A52" t="s">
        <v>129</v>
      </c>
      <c r="B52" t="s">
        <v>8</v>
      </c>
      <c r="C52">
        <v>28</v>
      </c>
      <c r="D52" t="s">
        <v>16</v>
      </c>
      <c r="E52" s="4">
        <v>44124</v>
      </c>
      <c r="F52" t="s">
        <v>21</v>
      </c>
      <c r="G52">
        <v>75970</v>
      </c>
    </row>
    <row r="53" spans="1:7" x14ac:dyDescent="0.25">
      <c r="A53" t="s">
        <v>112</v>
      </c>
      <c r="C53">
        <v>27</v>
      </c>
      <c r="D53" t="s">
        <v>13</v>
      </c>
      <c r="E53" s="4">
        <v>44212</v>
      </c>
      <c r="F53" t="s">
        <v>12</v>
      </c>
      <c r="G53">
        <v>90700</v>
      </c>
    </row>
    <row r="54" spans="1:7" x14ac:dyDescent="0.25">
      <c r="A54" t="s">
        <v>131</v>
      </c>
      <c r="B54" t="s">
        <v>15</v>
      </c>
      <c r="C54">
        <v>30</v>
      </c>
      <c r="D54" t="s">
        <v>16</v>
      </c>
      <c r="E54" s="4">
        <v>44607</v>
      </c>
      <c r="F54" t="s">
        <v>9</v>
      </c>
      <c r="G54">
        <v>60570</v>
      </c>
    </row>
    <row r="55" spans="1:7" x14ac:dyDescent="0.25">
      <c r="A55" t="s">
        <v>134</v>
      </c>
      <c r="B55" t="s">
        <v>15</v>
      </c>
      <c r="C55">
        <v>33</v>
      </c>
      <c r="D55" t="s">
        <v>16</v>
      </c>
      <c r="E55" s="4">
        <v>44103</v>
      </c>
      <c r="F55" t="s">
        <v>9</v>
      </c>
      <c r="G55">
        <v>115920</v>
      </c>
    </row>
    <row r="56" spans="1:7" x14ac:dyDescent="0.25">
      <c r="A56" t="s">
        <v>186</v>
      </c>
      <c r="B56" t="s">
        <v>8</v>
      </c>
      <c r="C56">
        <v>33</v>
      </c>
      <c r="D56" t="s">
        <v>16</v>
      </c>
      <c r="E56" s="4">
        <v>44006</v>
      </c>
      <c r="F56" t="s">
        <v>21</v>
      </c>
      <c r="G56">
        <v>65360</v>
      </c>
    </row>
    <row r="57" spans="1:7" x14ac:dyDescent="0.25">
      <c r="A57" t="s">
        <v>116</v>
      </c>
      <c r="C57">
        <v>30</v>
      </c>
      <c r="D57" t="s">
        <v>16</v>
      </c>
      <c r="E57" s="4">
        <v>44535</v>
      </c>
      <c r="F57" t="s">
        <v>21</v>
      </c>
      <c r="G57">
        <v>64000</v>
      </c>
    </row>
    <row r="58" spans="1:7" x14ac:dyDescent="0.25">
      <c r="A58" t="s">
        <v>195</v>
      </c>
      <c r="B58" t="s">
        <v>8</v>
      </c>
      <c r="C58">
        <v>34</v>
      </c>
      <c r="D58" t="s">
        <v>16</v>
      </c>
      <c r="E58" s="4">
        <v>44383</v>
      </c>
      <c r="F58" t="s">
        <v>21</v>
      </c>
      <c r="G58">
        <v>92450</v>
      </c>
    </row>
    <row r="59" spans="1:7" x14ac:dyDescent="0.25">
      <c r="A59" t="s">
        <v>113</v>
      </c>
      <c r="B59" t="s">
        <v>15</v>
      </c>
      <c r="C59">
        <v>31</v>
      </c>
      <c r="D59" t="s">
        <v>16</v>
      </c>
      <c r="E59" s="4">
        <v>44450</v>
      </c>
      <c r="F59" t="s">
        <v>12</v>
      </c>
      <c r="G59">
        <v>48950</v>
      </c>
    </row>
    <row r="60" spans="1:7" x14ac:dyDescent="0.25">
      <c r="A60" t="s">
        <v>185</v>
      </c>
      <c r="B60" t="s">
        <v>8</v>
      </c>
      <c r="C60">
        <v>27</v>
      </c>
      <c r="D60" t="s">
        <v>16</v>
      </c>
      <c r="E60" s="4">
        <v>44625</v>
      </c>
      <c r="F60" t="s">
        <v>12</v>
      </c>
      <c r="G60">
        <v>83750</v>
      </c>
    </row>
    <row r="61" spans="1:7" x14ac:dyDescent="0.25">
      <c r="A61" t="s">
        <v>166</v>
      </c>
      <c r="B61" t="s">
        <v>8</v>
      </c>
      <c r="C61">
        <v>40</v>
      </c>
      <c r="D61" t="s">
        <v>16</v>
      </c>
      <c r="E61" s="4">
        <v>44276</v>
      </c>
      <c r="F61" t="s">
        <v>12</v>
      </c>
      <c r="G61">
        <v>87620</v>
      </c>
    </row>
    <row r="62" spans="1:7" x14ac:dyDescent="0.25">
      <c r="A62" t="s">
        <v>184</v>
      </c>
      <c r="B62" t="s">
        <v>8</v>
      </c>
      <c r="C62">
        <v>20</v>
      </c>
      <c r="D62" t="s">
        <v>24</v>
      </c>
      <c r="E62" s="4">
        <v>44476</v>
      </c>
      <c r="F62" t="s">
        <v>19</v>
      </c>
      <c r="G62">
        <v>68900</v>
      </c>
    </row>
    <row r="63" spans="1:7" x14ac:dyDescent="0.25">
      <c r="A63" t="s">
        <v>157</v>
      </c>
      <c r="B63" t="s">
        <v>15</v>
      </c>
      <c r="C63">
        <v>32</v>
      </c>
      <c r="D63" t="s">
        <v>16</v>
      </c>
      <c r="E63" s="4">
        <v>44403</v>
      </c>
      <c r="F63" t="s">
        <v>19</v>
      </c>
      <c r="G63">
        <v>53540</v>
      </c>
    </row>
    <row r="64" spans="1:7" x14ac:dyDescent="0.25">
      <c r="A64" t="s">
        <v>172</v>
      </c>
      <c r="B64" t="s">
        <v>15</v>
      </c>
      <c r="C64">
        <v>28</v>
      </c>
      <c r="D64" t="s">
        <v>42</v>
      </c>
      <c r="E64" s="4">
        <v>44758</v>
      </c>
      <c r="F64" t="s">
        <v>19</v>
      </c>
      <c r="G64">
        <v>43510</v>
      </c>
    </row>
    <row r="65" spans="1:7" x14ac:dyDescent="0.25">
      <c r="A65" t="s">
        <v>127</v>
      </c>
      <c r="B65" t="s">
        <v>8</v>
      </c>
      <c r="C65">
        <v>38</v>
      </c>
      <c r="D65" t="s">
        <v>10</v>
      </c>
      <c r="E65" s="4">
        <v>44316</v>
      </c>
      <c r="F65" t="s">
        <v>19</v>
      </c>
      <c r="G65">
        <v>109160</v>
      </c>
    </row>
    <row r="66" spans="1:7" x14ac:dyDescent="0.25">
      <c r="A66" t="s">
        <v>198</v>
      </c>
      <c r="B66" t="s">
        <v>15</v>
      </c>
      <c r="C66">
        <v>40</v>
      </c>
      <c r="D66" t="s">
        <v>16</v>
      </c>
      <c r="E66" s="4">
        <v>44204</v>
      </c>
      <c r="F66" t="s">
        <v>9</v>
      </c>
      <c r="G66">
        <v>99750</v>
      </c>
    </row>
    <row r="67" spans="1:7" x14ac:dyDescent="0.25">
      <c r="A67" t="s">
        <v>124</v>
      </c>
      <c r="B67" t="s">
        <v>8</v>
      </c>
      <c r="C67">
        <v>31</v>
      </c>
      <c r="D67" t="s">
        <v>16</v>
      </c>
      <c r="E67" s="4">
        <v>44084</v>
      </c>
      <c r="F67" t="s">
        <v>12</v>
      </c>
      <c r="G67">
        <v>41980</v>
      </c>
    </row>
    <row r="68" spans="1:7" x14ac:dyDescent="0.25">
      <c r="A68" t="s">
        <v>187</v>
      </c>
      <c r="B68" t="s">
        <v>15</v>
      </c>
      <c r="C68">
        <v>36</v>
      </c>
      <c r="D68" t="s">
        <v>16</v>
      </c>
      <c r="E68" s="4">
        <v>44272</v>
      </c>
      <c r="F68" t="s">
        <v>21</v>
      </c>
      <c r="G68">
        <v>71380</v>
      </c>
    </row>
    <row r="69" spans="1:7" x14ac:dyDescent="0.25">
      <c r="A69" t="s">
        <v>191</v>
      </c>
      <c r="B69" t="s">
        <v>15</v>
      </c>
      <c r="C69">
        <v>27</v>
      </c>
      <c r="D69" t="s">
        <v>42</v>
      </c>
      <c r="E69" s="4">
        <v>44547</v>
      </c>
      <c r="F69" t="s">
        <v>9</v>
      </c>
      <c r="G69">
        <v>113280</v>
      </c>
    </row>
    <row r="70" spans="1:7" x14ac:dyDescent="0.25">
      <c r="A70" t="s">
        <v>181</v>
      </c>
      <c r="B70" t="s">
        <v>8</v>
      </c>
      <c r="C70">
        <v>33</v>
      </c>
      <c r="D70" t="s">
        <v>16</v>
      </c>
      <c r="E70" s="4">
        <v>44747</v>
      </c>
      <c r="F70" t="s">
        <v>21</v>
      </c>
      <c r="G70">
        <v>86570</v>
      </c>
    </row>
    <row r="71" spans="1:7" x14ac:dyDescent="0.25">
      <c r="A71" t="s">
        <v>139</v>
      </c>
      <c r="B71" t="s">
        <v>15</v>
      </c>
      <c r="C71">
        <v>26</v>
      </c>
      <c r="D71" t="s">
        <v>16</v>
      </c>
      <c r="E71" s="4">
        <v>44350</v>
      </c>
      <c r="F71" t="s">
        <v>9</v>
      </c>
      <c r="G71">
        <v>53540</v>
      </c>
    </row>
    <row r="72" spans="1:7" x14ac:dyDescent="0.25">
      <c r="A72" t="s">
        <v>190</v>
      </c>
      <c r="B72" t="s">
        <v>15</v>
      </c>
      <c r="C72">
        <v>37</v>
      </c>
      <c r="D72" t="s">
        <v>16</v>
      </c>
      <c r="E72" s="4">
        <v>44640</v>
      </c>
      <c r="F72" t="s">
        <v>12</v>
      </c>
      <c r="G72">
        <v>69070</v>
      </c>
    </row>
    <row r="73" spans="1:7" x14ac:dyDescent="0.25">
      <c r="A73" t="s">
        <v>121</v>
      </c>
      <c r="B73" t="s">
        <v>8</v>
      </c>
      <c r="C73">
        <v>30</v>
      </c>
      <c r="D73" t="s">
        <v>24</v>
      </c>
      <c r="E73" s="4">
        <v>44328</v>
      </c>
      <c r="F73" t="s">
        <v>21</v>
      </c>
      <c r="G73">
        <v>67910</v>
      </c>
    </row>
    <row r="74" spans="1:7" x14ac:dyDescent="0.25">
      <c r="A74" t="s">
        <v>119</v>
      </c>
      <c r="B74" t="s">
        <v>15</v>
      </c>
      <c r="C74">
        <v>30</v>
      </c>
      <c r="D74" t="s">
        <v>16</v>
      </c>
      <c r="E74" s="4">
        <v>44214</v>
      </c>
      <c r="F74" t="s">
        <v>12</v>
      </c>
      <c r="G74">
        <v>69120</v>
      </c>
    </row>
    <row r="75" spans="1:7" x14ac:dyDescent="0.25">
      <c r="A75" t="s">
        <v>132</v>
      </c>
      <c r="B75" t="s">
        <v>8</v>
      </c>
      <c r="C75">
        <v>34</v>
      </c>
      <c r="D75" t="s">
        <v>16</v>
      </c>
      <c r="E75" s="4">
        <v>44550</v>
      </c>
      <c r="F75" t="s">
        <v>21</v>
      </c>
      <c r="G75">
        <v>60130</v>
      </c>
    </row>
    <row r="76" spans="1:7" x14ac:dyDescent="0.25">
      <c r="A76" t="s">
        <v>161</v>
      </c>
      <c r="B76" t="s">
        <v>15</v>
      </c>
      <c r="C76">
        <v>23</v>
      </c>
      <c r="D76" t="s">
        <v>16</v>
      </c>
      <c r="E76" s="4">
        <v>44378</v>
      </c>
      <c r="F76" t="s">
        <v>9</v>
      </c>
      <c r="G76">
        <v>106460</v>
      </c>
    </row>
    <row r="77" spans="1:7" x14ac:dyDescent="0.25">
      <c r="A77" t="s">
        <v>148</v>
      </c>
      <c r="B77" t="s">
        <v>8</v>
      </c>
      <c r="C77">
        <v>37</v>
      </c>
      <c r="D77" t="s">
        <v>16</v>
      </c>
      <c r="E77" s="4">
        <v>44389</v>
      </c>
      <c r="F77" t="s">
        <v>56</v>
      </c>
      <c r="G77">
        <v>118100</v>
      </c>
    </row>
    <row r="78" spans="1:7" x14ac:dyDescent="0.25">
      <c r="A78" t="s">
        <v>164</v>
      </c>
      <c r="B78" t="s">
        <v>8</v>
      </c>
      <c r="C78">
        <v>36</v>
      </c>
      <c r="D78" t="s">
        <v>16</v>
      </c>
      <c r="E78" s="4">
        <v>44468</v>
      </c>
      <c r="F78" t="s">
        <v>9</v>
      </c>
      <c r="G78">
        <v>78390</v>
      </c>
    </row>
    <row r="79" spans="1:7" x14ac:dyDescent="0.25">
      <c r="A79" t="s">
        <v>147</v>
      </c>
      <c r="B79" t="s">
        <v>8</v>
      </c>
      <c r="C79">
        <v>30</v>
      </c>
      <c r="D79" t="s">
        <v>16</v>
      </c>
      <c r="E79" s="4">
        <v>44789</v>
      </c>
      <c r="F79" t="s">
        <v>9</v>
      </c>
      <c r="G79">
        <v>114180</v>
      </c>
    </row>
    <row r="80" spans="1:7" x14ac:dyDescent="0.25">
      <c r="A80" t="s">
        <v>189</v>
      </c>
      <c r="B80" t="s">
        <v>8</v>
      </c>
      <c r="C80">
        <v>28</v>
      </c>
      <c r="D80" t="s">
        <v>16</v>
      </c>
      <c r="E80" s="4">
        <v>44590</v>
      </c>
      <c r="F80" t="s">
        <v>9</v>
      </c>
      <c r="G80">
        <v>104120</v>
      </c>
    </row>
    <row r="81" spans="1:7" x14ac:dyDescent="0.25">
      <c r="A81" t="s">
        <v>138</v>
      </c>
      <c r="B81" t="s">
        <v>15</v>
      </c>
      <c r="C81">
        <v>30</v>
      </c>
      <c r="D81" t="s">
        <v>16</v>
      </c>
      <c r="E81" s="4">
        <v>44640</v>
      </c>
      <c r="F81" t="s">
        <v>9</v>
      </c>
      <c r="G81">
        <v>67950</v>
      </c>
    </row>
    <row r="82" spans="1:7" x14ac:dyDescent="0.25">
      <c r="A82" t="s">
        <v>137</v>
      </c>
      <c r="B82" t="s">
        <v>8</v>
      </c>
      <c r="C82">
        <v>29</v>
      </c>
      <c r="D82" t="s">
        <v>16</v>
      </c>
      <c r="E82" s="4">
        <v>43962</v>
      </c>
      <c r="F82" t="s">
        <v>12</v>
      </c>
      <c r="G82">
        <v>34980</v>
      </c>
    </row>
    <row r="83" spans="1:7" x14ac:dyDescent="0.25">
      <c r="A83" t="s">
        <v>153</v>
      </c>
      <c r="B83" t="s">
        <v>8</v>
      </c>
      <c r="C83">
        <v>24</v>
      </c>
      <c r="D83" t="s">
        <v>16</v>
      </c>
      <c r="E83" s="4">
        <v>44087</v>
      </c>
      <c r="F83" t="s">
        <v>12</v>
      </c>
      <c r="G83">
        <v>62780</v>
      </c>
    </row>
    <row r="84" spans="1:7" x14ac:dyDescent="0.25">
      <c r="A84" t="s">
        <v>117</v>
      </c>
      <c r="B84" t="s">
        <v>15</v>
      </c>
      <c r="C84">
        <v>20</v>
      </c>
      <c r="D84" t="s">
        <v>16</v>
      </c>
      <c r="E84" s="4">
        <v>44397</v>
      </c>
      <c r="F84" t="s">
        <v>12</v>
      </c>
      <c r="G84">
        <v>107700</v>
      </c>
    </row>
    <row r="85" spans="1:7" x14ac:dyDescent="0.25">
      <c r="A85" t="s">
        <v>168</v>
      </c>
      <c r="B85" t="s">
        <v>15</v>
      </c>
      <c r="C85">
        <v>25</v>
      </c>
      <c r="D85" t="s">
        <v>16</v>
      </c>
      <c r="E85" s="4">
        <v>44322</v>
      </c>
      <c r="F85" t="s">
        <v>19</v>
      </c>
      <c r="G85">
        <v>65700</v>
      </c>
    </row>
    <row r="86" spans="1:7" x14ac:dyDescent="0.25">
      <c r="A86" t="s">
        <v>135</v>
      </c>
      <c r="B86" t="s">
        <v>8</v>
      </c>
      <c r="C86">
        <v>33</v>
      </c>
      <c r="D86" t="s">
        <v>42</v>
      </c>
      <c r="E86" s="4">
        <v>44313</v>
      </c>
      <c r="F86" t="s">
        <v>12</v>
      </c>
      <c r="G86">
        <v>75480</v>
      </c>
    </row>
    <row r="87" spans="1:7" x14ac:dyDescent="0.25">
      <c r="A87" t="s">
        <v>174</v>
      </c>
      <c r="B87" t="s">
        <v>15</v>
      </c>
      <c r="C87">
        <v>33</v>
      </c>
      <c r="D87" t="s">
        <v>16</v>
      </c>
      <c r="E87" s="4">
        <v>44448</v>
      </c>
      <c r="F87" t="s">
        <v>12</v>
      </c>
      <c r="G87">
        <v>53870</v>
      </c>
    </row>
    <row r="88" spans="1:7" x14ac:dyDescent="0.25">
      <c r="A88" t="s">
        <v>141</v>
      </c>
      <c r="B88" t="s">
        <v>8</v>
      </c>
      <c r="C88">
        <v>36</v>
      </c>
      <c r="D88" t="s">
        <v>16</v>
      </c>
      <c r="E88" s="4">
        <v>44433</v>
      </c>
      <c r="F88" t="s">
        <v>19</v>
      </c>
      <c r="G88">
        <v>78540</v>
      </c>
    </row>
    <row r="89" spans="1:7" x14ac:dyDescent="0.25">
      <c r="A89" t="s">
        <v>193</v>
      </c>
      <c r="B89" t="s">
        <v>15</v>
      </c>
      <c r="C89">
        <v>19</v>
      </c>
      <c r="D89" t="s">
        <v>16</v>
      </c>
      <c r="E89" s="4">
        <v>44218</v>
      </c>
      <c r="F89" t="s">
        <v>9</v>
      </c>
      <c r="G89">
        <v>58960</v>
      </c>
    </row>
    <row r="90" spans="1:7" x14ac:dyDescent="0.25">
      <c r="A90" t="s">
        <v>162</v>
      </c>
      <c r="B90" t="s">
        <v>15</v>
      </c>
      <c r="C90">
        <v>46</v>
      </c>
      <c r="D90" t="s">
        <v>16</v>
      </c>
      <c r="E90" s="4">
        <v>44697</v>
      </c>
      <c r="F90" t="s">
        <v>9</v>
      </c>
      <c r="G90">
        <v>70610</v>
      </c>
    </row>
    <row r="91" spans="1:7" x14ac:dyDescent="0.25">
      <c r="A91" t="s">
        <v>171</v>
      </c>
      <c r="B91" t="s">
        <v>15</v>
      </c>
      <c r="C91">
        <v>33</v>
      </c>
      <c r="D91" t="s">
        <v>16</v>
      </c>
      <c r="E91" s="4">
        <v>44181</v>
      </c>
      <c r="F91" t="s">
        <v>21</v>
      </c>
      <c r="G91">
        <v>59430</v>
      </c>
    </row>
    <row r="92" spans="1:7" x14ac:dyDescent="0.25">
      <c r="A92" t="s">
        <v>144</v>
      </c>
      <c r="B92" t="s">
        <v>15</v>
      </c>
      <c r="C92">
        <v>33</v>
      </c>
      <c r="D92" t="s">
        <v>13</v>
      </c>
      <c r="E92" s="4">
        <v>44640</v>
      </c>
      <c r="F92" t="s">
        <v>9</v>
      </c>
      <c r="G92">
        <v>48530</v>
      </c>
    </row>
    <row r="93" spans="1:7" x14ac:dyDescent="0.25">
      <c r="A93" t="s">
        <v>163</v>
      </c>
      <c r="B93" t="s">
        <v>8</v>
      </c>
      <c r="C93">
        <v>33</v>
      </c>
      <c r="D93" t="s">
        <v>16</v>
      </c>
      <c r="E93" s="4">
        <v>44129</v>
      </c>
      <c r="F93" t="s">
        <v>12</v>
      </c>
      <c r="G93">
        <v>96140</v>
      </c>
    </row>
    <row r="94" spans="1:7" x14ac:dyDescent="0.25">
      <c r="A94" t="s">
        <v>156</v>
      </c>
      <c r="B94" t="s">
        <v>15</v>
      </c>
      <c r="C94">
        <v>20</v>
      </c>
      <c r="D94" t="s">
        <v>16</v>
      </c>
      <c r="E94" s="4">
        <v>44122</v>
      </c>
      <c r="F94" t="s">
        <v>12</v>
      </c>
      <c r="G94">
        <v>112650</v>
      </c>
    </row>
    <row r="95" spans="1:7" x14ac:dyDescent="0.25">
      <c r="A95" t="s">
        <v>176</v>
      </c>
      <c r="B95" t="s">
        <v>8</v>
      </c>
      <c r="C95">
        <v>32</v>
      </c>
      <c r="D95" t="s">
        <v>13</v>
      </c>
      <c r="E95" s="4">
        <v>44293</v>
      </c>
      <c r="F95" t="s">
        <v>12</v>
      </c>
      <c r="G95">
        <v>43840</v>
      </c>
    </row>
    <row r="96" spans="1:7" x14ac:dyDescent="0.25">
      <c r="A96" t="s">
        <v>143</v>
      </c>
      <c r="B96" t="s">
        <v>15</v>
      </c>
      <c r="C96">
        <v>31</v>
      </c>
      <c r="D96" t="s">
        <v>16</v>
      </c>
      <c r="E96" s="4">
        <v>44663</v>
      </c>
      <c r="F96" t="s">
        <v>9</v>
      </c>
      <c r="G96">
        <v>103550</v>
      </c>
    </row>
    <row r="97" spans="1:7" x14ac:dyDescent="0.25">
      <c r="A97" t="s">
        <v>201</v>
      </c>
      <c r="B97" t="s">
        <v>8</v>
      </c>
      <c r="C97">
        <v>32</v>
      </c>
      <c r="D97" t="s">
        <v>16</v>
      </c>
      <c r="E97" s="4">
        <v>44339</v>
      </c>
      <c r="F97" t="s">
        <v>56</v>
      </c>
      <c r="G97">
        <v>45510</v>
      </c>
    </row>
    <row r="98" spans="1:7" x14ac:dyDescent="0.25">
      <c r="A98" t="s">
        <v>142</v>
      </c>
      <c r="C98">
        <v>37</v>
      </c>
      <c r="D98" t="s">
        <v>24</v>
      </c>
      <c r="E98" s="4">
        <v>44085</v>
      </c>
      <c r="F98" t="s">
        <v>21</v>
      </c>
      <c r="G98">
        <v>115440</v>
      </c>
    </row>
    <row r="99" spans="1:7" x14ac:dyDescent="0.25">
      <c r="A99" t="s">
        <v>202</v>
      </c>
      <c r="B99" t="s">
        <v>8</v>
      </c>
      <c r="C99">
        <v>38</v>
      </c>
      <c r="D99" t="s">
        <v>13</v>
      </c>
      <c r="E99" s="4">
        <v>44268</v>
      </c>
      <c r="F99" t="s">
        <v>19</v>
      </c>
      <c r="G99">
        <v>56870</v>
      </c>
    </row>
    <row r="100" spans="1:7" x14ac:dyDescent="0.25">
      <c r="A100" t="s">
        <v>169</v>
      </c>
      <c r="B100" t="s">
        <v>8</v>
      </c>
      <c r="C100">
        <v>25</v>
      </c>
      <c r="D100" t="s">
        <v>16</v>
      </c>
      <c r="E100" s="4">
        <v>44144</v>
      </c>
      <c r="F100" t="s">
        <v>19</v>
      </c>
      <c r="G100">
        <v>92700</v>
      </c>
    </row>
    <row r="101" spans="1:7" x14ac:dyDescent="0.25">
      <c r="A101" t="s">
        <v>145</v>
      </c>
      <c r="C101">
        <v>32</v>
      </c>
      <c r="D101" t="s">
        <v>16</v>
      </c>
      <c r="E101" s="4">
        <v>44713</v>
      </c>
      <c r="F101" t="s">
        <v>12</v>
      </c>
      <c r="G101">
        <v>91310</v>
      </c>
    </row>
    <row r="102" spans="1:7" x14ac:dyDescent="0.25">
      <c r="A102" t="s">
        <v>115</v>
      </c>
      <c r="B102" t="s">
        <v>15</v>
      </c>
      <c r="C102">
        <v>33</v>
      </c>
      <c r="D102" t="s">
        <v>16</v>
      </c>
      <c r="E102" s="4">
        <v>44324</v>
      </c>
      <c r="F102" t="s">
        <v>19</v>
      </c>
      <c r="G102">
        <v>74550</v>
      </c>
    </row>
    <row r="103" spans="1:7" x14ac:dyDescent="0.25">
      <c r="A103" t="s">
        <v>128</v>
      </c>
      <c r="B103" t="s">
        <v>15</v>
      </c>
      <c r="C103">
        <v>25</v>
      </c>
      <c r="D103" t="s">
        <v>13</v>
      </c>
      <c r="E103" s="4">
        <v>44665</v>
      </c>
      <c r="F103" t="s">
        <v>9</v>
      </c>
      <c r="G103">
        <v>109190</v>
      </c>
    </row>
    <row r="104" spans="1:7" x14ac:dyDescent="0.25">
      <c r="A104" t="s">
        <v>194</v>
      </c>
      <c r="B104" t="s">
        <v>8</v>
      </c>
      <c r="C104">
        <v>40</v>
      </c>
      <c r="D104" t="s">
        <v>16</v>
      </c>
      <c r="E104" s="4">
        <v>44320</v>
      </c>
      <c r="F104" t="s">
        <v>12</v>
      </c>
      <c r="G104">
        <v>104410</v>
      </c>
    </row>
    <row r="105" spans="1:7" x14ac:dyDescent="0.25">
      <c r="A105" t="s">
        <v>177</v>
      </c>
      <c r="B105" t="s">
        <v>15</v>
      </c>
      <c r="C105">
        <v>30</v>
      </c>
      <c r="D105" t="s">
        <v>16</v>
      </c>
      <c r="E105" s="4">
        <v>44544</v>
      </c>
      <c r="F105" t="s">
        <v>21</v>
      </c>
      <c r="G105">
        <v>96800</v>
      </c>
    </row>
    <row r="106" spans="1:7" x14ac:dyDescent="0.25">
      <c r="A106" t="s">
        <v>123</v>
      </c>
      <c r="B106" t="s">
        <v>15</v>
      </c>
      <c r="C106">
        <v>28</v>
      </c>
      <c r="D106" t="s">
        <v>13</v>
      </c>
      <c r="E106" s="4">
        <v>43980</v>
      </c>
      <c r="F106" t="s">
        <v>21</v>
      </c>
      <c r="G106">
        <v>48170</v>
      </c>
    </row>
    <row r="107" spans="1:7" x14ac:dyDescent="0.25">
      <c r="A107" t="s">
        <v>140</v>
      </c>
      <c r="B107" t="s">
        <v>15</v>
      </c>
      <c r="C107">
        <v>21</v>
      </c>
      <c r="D107" t="s">
        <v>16</v>
      </c>
      <c r="E107" s="4">
        <v>44042</v>
      </c>
      <c r="F107" t="s">
        <v>9</v>
      </c>
      <c r="G107">
        <v>37920</v>
      </c>
    </row>
    <row r="108" spans="1:7" x14ac:dyDescent="0.25">
      <c r="A108" t="s">
        <v>178</v>
      </c>
      <c r="B108" t="s">
        <v>15</v>
      </c>
      <c r="C108">
        <v>34</v>
      </c>
      <c r="D108" t="s">
        <v>16</v>
      </c>
      <c r="E108" s="4">
        <v>44642</v>
      </c>
      <c r="F108" t="s">
        <v>9</v>
      </c>
      <c r="G108">
        <v>112650</v>
      </c>
    </row>
    <row r="109" spans="1:7" x14ac:dyDescent="0.25">
      <c r="A109" t="s">
        <v>165</v>
      </c>
      <c r="B109" t="s">
        <v>8</v>
      </c>
      <c r="C109">
        <v>34</v>
      </c>
      <c r="D109" t="s">
        <v>24</v>
      </c>
      <c r="E109" s="4">
        <v>44660</v>
      </c>
      <c r="F109" t="s">
        <v>19</v>
      </c>
      <c r="G109">
        <v>49630</v>
      </c>
    </row>
    <row r="110" spans="1:7" x14ac:dyDescent="0.25">
      <c r="A110" t="s">
        <v>199</v>
      </c>
      <c r="B110" t="s">
        <v>15</v>
      </c>
      <c r="C110">
        <v>36</v>
      </c>
      <c r="D110" t="s">
        <v>16</v>
      </c>
      <c r="E110" s="4">
        <v>43958</v>
      </c>
      <c r="F110" t="s">
        <v>12</v>
      </c>
      <c r="G110">
        <v>118840</v>
      </c>
    </row>
    <row r="111" spans="1:7" x14ac:dyDescent="0.25">
      <c r="A111" t="s">
        <v>159</v>
      </c>
      <c r="B111" t="s">
        <v>15</v>
      </c>
      <c r="C111">
        <v>30</v>
      </c>
      <c r="D111" t="s">
        <v>16</v>
      </c>
      <c r="E111" s="4">
        <v>44789</v>
      </c>
      <c r="F111" t="s">
        <v>12</v>
      </c>
      <c r="G111">
        <v>69710</v>
      </c>
    </row>
    <row r="112" spans="1:7" x14ac:dyDescent="0.25">
      <c r="A112" t="s">
        <v>197</v>
      </c>
      <c r="B112" t="s">
        <v>15</v>
      </c>
      <c r="C112">
        <v>20</v>
      </c>
      <c r="D112" t="s">
        <v>16</v>
      </c>
      <c r="E112" s="4">
        <v>44683</v>
      </c>
      <c r="F112" t="s">
        <v>9</v>
      </c>
      <c r="G112">
        <v>79570</v>
      </c>
    </row>
    <row r="113" spans="1:7" x14ac:dyDescent="0.25">
      <c r="A113" t="s">
        <v>154</v>
      </c>
      <c r="B113" t="s">
        <v>8</v>
      </c>
      <c r="C113">
        <v>22</v>
      </c>
      <c r="D113" t="s">
        <v>13</v>
      </c>
      <c r="E113" s="4">
        <v>44388</v>
      </c>
      <c r="F113" t="s">
        <v>9</v>
      </c>
      <c r="G113">
        <v>76900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333D9-01ED-49ED-B323-9A5F755FDC6D}">
  <dimension ref="A1:D51"/>
  <sheetViews>
    <sheetView zoomScale="130" zoomScaleNormal="130" workbookViewId="0">
      <selection activeCell="C15" sqref="C15"/>
    </sheetView>
  </sheetViews>
  <sheetFormatPr defaultRowHeight="15" x14ac:dyDescent="0.25"/>
  <cols>
    <col min="1" max="1" width="75.28515625" bestFit="1" customWidth="1"/>
  </cols>
  <sheetData>
    <row r="1" spans="1:4" ht="21" x14ac:dyDescent="0.35">
      <c r="A1" s="12" t="s">
        <v>272</v>
      </c>
      <c r="C1" s="21"/>
      <c r="D1" s="51" t="s">
        <v>285</v>
      </c>
    </row>
    <row r="2" spans="1:4" x14ac:dyDescent="0.25">
      <c r="A2" t="s">
        <v>204</v>
      </c>
    </row>
    <row r="3" spans="1:4" x14ac:dyDescent="0.25">
      <c r="A3" t="s">
        <v>205</v>
      </c>
    </row>
    <row r="4" spans="1:4" x14ac:dyDescent="0.25">
      <c r="A4" s="21" t="s">
        <v>206</v>
      </c>
    </row>
    <row r="5" spans="1:4" x14ac:dyDescent="0.25">
      <c r="A5" s="21" t="s">
        <v>207</v>
      </c>
    </row>
    <row r="6" spans="1:4" x14ac:dyDescent="0.25">
      <c r="A6" s="21" t="s">
        <v>209</v>
      </c>
    </row>
    <row r="7" spans="1:4" x14ac:dyDescent="0.25">
      <c r="A7" s="21" t="s">
        <v>210</v>
      </c>
    </row>
    <row r="8" spans="1:4" x14ac:dyDescent="0.25">
      <c r="A8" s="21" t="s">
        <v>211</v>
      </c>
    </row>
    <row r="9" spans="1:4" x14ac:dyDescent="0.25">
      <c r="A9" s="21"/>
    </row>
    <row r="10" spans="1:4" x14ac:dyDescent="0.25">
      <c r="A10" s="21" t="s">
        <v>208</v>
      </c>
    </row>
    <row r="11" spans="1:4" x14ac:dyDescent="0.25">
      <c r="A11" s="21" t="s">
        <v>212</v>
      </c>
    </row>
    <row r="12" spans="1:4" x14ac:dyDescent="0.25">
      <c r="A12" s="21" t="s">
        <v>213</v>
      </c>
    </row>
    <row r="13" spans="1:4" x14ac:dyDescent="0.25">
      <c r="A13" s="21" t="s">
        <v>214</v>
      </c>
    </row>
    <row r="14" spans="1:4" x14ac:dyDescent="0.25">
      <c r="A14" s="21" t="s">
        <v>215</v>
      </c>
    </row>
    <row r="15" spans="1:4" x14ac:dyDescent="0.25">
      <c r="A15" s="21" t="s">
        <v>216</v>
      </c>
    </row>
    <row r="17" spans="1:1" ht="21" x14ac:dyDescent="0.35">
      <c r="A17" s="12" t="s">
        <v>221</v>
      </c>
    </row>
    <row r="19" spans="1:1" x14ac:dyDescent="0.25">
      <c r="A19" t="s">
        <v>222</v>
      </c>
    </row>
    <row r="20" spans="1:1" x14ac:dyDescent="0.25">
      <c r="A20" t="s">
        <v>223</v>
      </c>
    </row>
    <row r="21" spans="1:1" x14ac:dyDescent="0.25">
      <c r="A21" t="s">
        <v>224</v>
      </c>
    </row>
    <row r="22" spans="1:1" x14ac:dyDescent="0.25">
      <c r="A22" s="21" t="s">
        <v>225</v>
      </c>
    </row>
    <row r="23" spans="1:1" x14ac:dyDescent="0.25">
      <c r="A23" t="s">
        <v>230</v>
      </c>
    </row>
    <row r="24" spans="1:1" x14ac:dyDescent="0.25">
      <c r="A24" t="s">
        <v>240</v>
      </c>
    </row>
    <row r="26" spans="1:1" x14ac:dyDescent="0.25">
      <c r="A26" t="s">
        <v>244</v>
      </c>
    </row>
    <row r="27" spans="1:1" x14ac:dyDescent="0.25">
      <c r="A27" s="21" t="s">
        <v>284</v>
      </c>
    </row>
    <row r="28" spans="1:1" x14ac:dyDescent="0.25">
      <c r="A28" s="21" t="s">
        <v>245</v>
      </c>
    </row>
    <row r="31" spans="1:1" ht="21" x14ac:dyDescent="0.35">
      <c r="A31" s="12" t="s">
        <v>253</v>
      </c>
    </row>
    <row r="32" spans="1:1" x14ac:dyDescent="0.25">
      <c r="A32" s="21" t="s">
        <v>254</v>
      </c>
    </row>
    <row r="35" spans="1:2" ht="21" x14ac:dyDescent="0.35">
      <c r="A35" s="12" t="s">
        <v>255</v>
      </c>
    </row>
    <row r="36" spans="1:2" x14ac:dyDescent="0.25">
      <c r="A36" s="21" t="s">
        <v>266</v>
      </c>
    </row>
    <row r="37" spans="1:2" x14ac:dyDescent="0.25">
      <c r="A37" s="21" t="s">
        <v>267</v>
      </c>
    </row>
    <row r="38" spans="1:2" x14ac:dyDescent="0.25">
      <c r="A38" s="21" t="s">
        <v>268</v>
      </c>
    </row>
    <row r="39" spans="1:2" x14ac:dyDescent="0.25">
      <c r="A39" s="21" t="s">
        <v>269</v>
      </c>
    </row>
    <row r="40" spans="1:2" x14ac:dyDescent="0.25">
      <c r="A40" s="21" t="s">
        <v>270</v>
      </c>
    </row>
    <row r="41" spans="1:2" x14ac:dyDescent="0.25">
      <c r="A41" s="21"/>
    </row>
    <row r="42" spans="1:2" x14ac:dyDescent="0.25">
      <c r="A42" s="21" t="s">
        <v>271</v>
      </c>
    </row>
    <row r="45" spans="1:2" ht="21" x14ac:dyDescent="0.35">
      <c r="A45" s="12" t="s">
        <v>274</v>
      </c>
    </row>
    <row r="46" spans="1:2" x14ac:dyDescent="0.25">
      <c r="A46" t="s">
        <v>275</v>
      </c>
      <c r="B46" t="s">
        <v>281</v>
      </c>
    </row>
    <row r="47" spans="1:2" x14ac:dyDescent="0.25">
      <c r="A47" s="21" t="s">
        <v>276</v>
      </c>
      <c r="B47" t="s">
        <v>280</v>
      </c>
    </row>
    <row r="48" spans="1:2" x14ac:dyDescent="0.25">
      <c r="A48" t="s">
        <v>277</v>
      </c>
    </row>
    <row r="49" spans="1:2" x14ac:dyDescent="0.25">
      <c r="A49" t="s">
        <v>278</v>
      </c>
    </row>
    <row r="50" spans="1:2" x14ac:dyDescent="0.25">
      <c r="A50" s="21" t="s">
        <v>299</v>
      </c>
      <c r="B50" t="s">
        <v>298</v>
      </c>
    </row>
    <row r="51" spans="1:2" x14ac:dyDescent="0.25">
      <c r="A51" s="21" t="s">
        <v>300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11807-9834-4E94-B067-6FF766E951B2}">
  <sheetPr>
    <tabColor rgb="FFCC00FF"/>
  </sheetPr>
  <dimension ref="A3:G20"/>
  <sheetViews>
    <sheetView zoomScale="160" zoomScaleNormal="160" workbookViewId="0">
      <selection activeCell="D9" sqref="D9"/>
    </sheetView>
  </sheetViews>
  <sheetFormatPr defaultRowHeight="15" x14ac:dyDescent="0.25"/>
  <cols>
    <col min="1" max="1" width="21.5703125" bestFit="1" customWidth="1"/>
    <col min="2" max="2" width="16.28515625" bestFit="1" customWidth="1"/>
    <col min="3" max="3" width="6.7109375" bestFit="1" customWidth="1"/>
    <col min="4" max="4" width="12.5703125" bestFit="1" customWidth="1"/>
    <col min="5" max="6" width="8.85546875" bestFit="1" customWidth="1"/>
    <col min="7" max="7" width="11.28515625" bestFit="1" customWidth="1"/>
    <col min="8" max="26" width="3" bestFit="1" customWidth="1"/>
    <col min="27" max="27" width="11.28515625" bestFit="1" customWidth="1"/>
    <col min="28" max="28" width="11" bestFit="1" customWidth="1"/>
    <col min="29" max="29" width="13.5703125" bestFit="1" customWidth="1"/>
    <col min="30" max="30" width="12.7109375" bestFit="1" customWidth="1"/>
    <col min="31" max="31" width="25.5703125" bestFit="1" customWidth="1"/>
    <col min="32" max="32" width="13.85546875" bestFit="1" customWidth="1"/>
    <col min="33" max="33" width="12.5703125" bestFit="1" customWidth="1"/>
    <col min="34" max="34" width="13.5703125" bestFit="1" customWidth="1"/>
    <col min="35" max="35" width="12.42578125" bestFit="1" customWidth="1"/>
    <col min="36" max="36" width="18.140625" bestFit="1" customWidth="1"/>
    <col min="37" max="37" width="13.28515625" bestFit="1" customWidth="1"/>
    <col min="38" max="38" width="14" bestFit="1" customWidth="1"/>
    <col min="39" max="39" width="25.140625" bestFit="1" customWidth="1"/>
    <col min="40" max="40" width="14.28515625" bestFit="1" customWidth="1"/>
    <col min="41" max="42" width="14.5703125" bestFit="1" customWidth="1"/>
    <col min="43" max="43" width="11.28515625" bestFit="1" customWidth="1"/>
    <col min="44" max="44" width="19.85546875" bestFit="1" customWidth="1"/>
    <col min="45" max="45" width="22.140625" bestFit="1" customWidth="1"/>
    <col min="46" max="46" width="16.5703125" bestFit="1" customWidth="1"/>
    <col min="47" max="47" width="13.42578125" bestFit="1" customWidth="1"/>
    <col min="48" max="48" width="16.5703125" bestFit="1" customWidth="1"/>
    <col min="49" max="49" width="14.140625" bestFit="1" customWidth="1"/>
    <col min="50" max="50" width="16.7109375" bestFit="1" customWidth="1"/>
    <col min="51" max="51" width="11.7109375" bestFit="1" customWidth="1"/>
    <col min="52" max="52" width="13.7109375" bestFit="1" customWidth="1"/>
    <col min="53" max="53" width="12.7109375" bestFit="1" customWidth="1"/>
    <col min="54" max="54" width="18" bestFit="1" customWidth="1"/>
    <col min="55" max="56" width="13.7109375" bestFit="1" customWidth="1"/>
    <col min="57" max="57" width="22.7109375" bestFit="1" customWidth="1"/>
    <col min="58" max="58" width="16.140625" bestFit="1" customWidth="1"/>
    <col min="59" max="59" width="20.42578125" bestFit="1" customWidth="1"/>
    <col min="60" max="60" width="11.7109375" bestFit="1" customWidth="1"/>
    <col min="61" max="61" width="15.28515625" bestFit="1" customWidth="1"/>
    <col min="62" max="62" width="12.7109375" bestFit="1" customWidth="1"/>
    <col min="63" max="63" width="15.85546875" bestFit="1" customWidth="1"/>
    <col min="64" max="64" width="15.5703125" bestFit="1" customWidth="1"/>
    <col min="65" max="66" width="16.140625" bestFit="1" customWidth="1"/>
    <col min="67" max="67" width="15.140625" bestFit="1" customWidth="1"/>
    <col min="68" max="68" width="17.7109375" bestFit="1" customWidth="1"/>
    <col min="69" max="69" width="11.28515625" bestFit="1" customWidth="1"/>
    <col min="70" max="70" width="10.140625" bestFit="1" customWidth="1"/>
    <col min="71" max="71" width="13.42578125" bestFit="1" customWidth="1"/>
    <col min="72" max="72" width="20.28515625" bestFit="1" customWidth="1"/>
    <col min="73" max="73" width="12.7109375" bestFit="1" customWidth="1"/>
    <col min="74" max="74" width="21.42578125" bestFit="1" customWidth="1"/>
    <col min="75" max="75" width="14" bestFit="1" customWidth="1"/>
    <col min="76" max="76" width="19.5703125" bestFit="1" customWidth="1"/>
    <col min="77" max="77" width="12.85546875" bestFit="1" customWidth="1"/>
    <col min="78" max="78" width="21.5703125" bestFit="1" customWidth="1"/>
    <col min="79" max="79" width="12.42578125" bestFit="1" customWidth="1"/>
    <col min="80" max="80" width="15.140625" bestFit="1" customWidth="1"/>
    <col min="81" max="81" width="14.7109375" bestFit="1" customWidth="1"/>
    <col min="82" max="82" width="11.28515625" bestFit="1" customWidth="1"/>
    <col min="83" max="83" width="21.5703125" bestFit="1" customWidth="1"/>
    <col min="84" max="84" width="21.42578125" bestFit="1" customWidth="1"/>
    <col min="85" max="85" width="15.7109375" bestFit="1" customWidth="1"/>
    <col min="86" max="86" width="16.42578125" bestFit="1" customWidth="1"/>
    <col min="87" max="87" width="18.140625" bestFit="1" customWidth="1"/>
    <col min="88" max="88" width="12" bestFit="1" customWidth="1"/>
    <col min="89" max="89" width="12.140625" bestFit="1" customWidth="1"/>
    <col min="90" max="90" width="12.85546875" bestFit="1" customWidth="1"/>
    <col min="91" max="91" width="13.85546875" bestFit="1" customWidth="1"/>
    <col min="92" max="92" width="12.5703125" bestFit="1" customWidth="1"/>
    <col min="93" max="93" width="18.5703125" bestFit="1" customWidth="1"/>
    <col min="94" max="94" width="16.28515625" bestFit="1" customWidth="1"/>
    <col min="95" max="95" width="20.42578125" bestFit="1" customWidth="1"/>
    <col min="96" max="96" width="16.28515625" bestFit="1" customWidth="1"/>
    <col min="97" max="97" width="19.85546875" bestFit="1" customWidth="1"/>
    <col min="98" max="98" width="21" bestFit="1" customWidth="1"/>
    <col min="99" max="99" width="11.5703125" bestFit="1" customWidth="1"/>
    <col min="100" max="100" width="13.42578125" bestFit="1" customWidth="1"/>
    <col min="101" max="101" width="12.42578125" bestFit="1" customWidth="1"/>
    <col min="102" max="102" width="12.28515625" bestFit="1" customWidth="1"/>
    <col min="103" max="103" width="16.7109375" bestFit="1" customWidth="1"/>
    <col min="104" max="104" width="19" bestFit="1" customWidth="1"/>
    <col min="105" max="105" width="19.85546875" bestFit="1" customWidth="1"/>
    <col min="106" max="106" width="26.5703125" bestFit="1" customWidth="1"/>
    <col min="107" max="107" width="15.140625" bestFit="1" customWidth="1"/>
    <col min="108" max="108" width="20.42578125" bestFit="1" customWidth="1"/>
    <col min="109" max="109" width="15" bestFit="1" customWidth="1"/>
    <col min="110" max="110" width="15.140625" bestFit="1" customWidth="1"/>
    <col min="111" max="111" width="14.28515625" bestFit="1" customWidth="1"/>
    <col min="112" max="112" width="19" bestFit="1" customWidth="1"/>
    <col min="113" max="113" width="15.7109375" bestFit="1" customWidth="1"/>
    <col min="114" max="114" width="15.140625" bestFit="1" customWidth="1"/>
    <col min="115" max="115" width="29.42578125" bestFit="1" customWidth="1"/>
    <col min="116" max="116" width="15" bestFit="1" customWidth="1"/>
    <col min="117" max="117" width="14.42578125" bestFit="1" customWidth="1"/>
    <col min="118" max="118" width="15.140625" bestFit="1" customWidth="1"/>
    <col min="119" max="119" width="13.5703125" bestFit="1" customWidth="1"/>
    <col min="120" max="120" width="12.85546875" bestFit="1" customWidth="1"/>
    <col min="121" max="121" width="12.28515625" bestFit="1" customWidth="1"/>
    <col min="122" max="122" width="15.7109375" bestFit="1" customWidth="1"/>
    <col min="123" max="123" width="14" bestFit="1" customWidth="1"/>
    <col min="124" max="124" width="10.28515625" bestFit="1" customWidth="1"/>
    <col min="125" max="125" width="10.85546875" bestFit="1" customWidth="1"/>
    <col min="126" max="126" width="11.42578125" bestFit="1" customWidth="1"/>
    <col min="127" max="127" width="17.7109375" bestFit="1" customWidth="1"/>
    <col min="128" max="128" width="13.5703125" bestFit="1" customWidth="1"/>
    <col min="129" max="129" width="13.7109375" bestFit="1" customWidth="1"/>
    <col min="130" max="130" width="14.7109375" bestFit="1" customWidth="1"/>
    <col min="131" max="131" width="22" bestFit="1" customWidth="1"/>
    <col min="132" max="132" width="18" bestFit="1" customWidth="1"/>
    <col min="133" max="133" width="19.28515625" bestFit="1" customWidth="1"/>
    <col min="134" max="134" width="15" bestFit="1" customWidth="1"/>
    <col min="135" max="135" width="24.140625" bestFit="1" customWidth="1"/>
    <col min="136" max="136" width="16.28515625" bestFit="1" customWidth="1"/>
    <col min="137" max="138" width="12.7109375" bestFit="1" customWidth="1"/>
    <col min="139" max="139" width="11.42578125" bestFit="1" customWidth="1"/>
    <col min="140" max="140" width="21.5703125" bestFit="1" customWidth="1"/>
    <col min="141" max="141" width="20.140625" bestFit="1" customWidth="1"/>
    <col min="142" max="142" width="22.140625" bestFit="1" customWidth="1"/>
    <col min="143" max="143" width="14.85546875" bestFit="1" customWidth="1"/>
    <col min="144" max="144" width="18" bestFit="1" customWidth="1"/>
    <col min="145" max="145" width="19.42578125" bestFit="1" customWidth="1"/>
    <col min="146" max="146" width="12.140625" bestFit="1" customWidth="1"/>
    <col min="147" max="147" width="20.28515625" bestFit="1" customWidth="1"/>
    <col min="148" max="148" width="15.140625" bestFit="1" customWidth="1"/>
    <col min="149" max="149" width="12.28515625" bestFit="1" customWidth="1"/>
    <col min="150" max="150" width="14.28515625" bestFit="1" customWidth="1"/>
    <col min="151" max="151" width="13.5703125" bestFit="1" customWidth="1"/>
    <col min="152" max="152" width="14.85546875" bestFit="1" customWidth="1"/>
    <col min="153" max="153" width="19.42578125" bestFit="1" customWidth="1"/>
    <col min="154" max="154" width="11.7109375" bestFit="1" customWidth="1"/>
    <col min="155" max="155" width="16.85546875" bestFit="1" customWidth="1"/>
    <col min="156" max="156" width="22.140625" bestFit="1" customWidth="1"/>
    <col min="157" max="157" width="13.42578125" bestFit="1" customWidth="1"/>
    <col min="158" max="158" width="30" bestFit="1" customWidth="1"/>
    <col min="159" max="159" width="12.5703125" bestFit="1" customWidth="1"/>
    <col min="160" max="160" width="15.140625" bestFit="1" customWidth="1"/>
    <col min="161" max="161" width="23.140625" bestFit="1" customWidth="1"/>
    <col min="162" max="162" width="19.140625" bestFit="1" customWidth="1"/>
    <col min="163" max="163" width="13.28515625" bestFit="1" customWidth="1"/>
    <col min="164" max="164" width="11.42578125" bestFit="1" customWidth="1"/>
    <col min="165" max="165" width="13.42578125" bestFit="1" customWidth="1"/>
    <col min="166" max="166" width="14.28515625" bestFit="1" customWidth="1"/>
    <col min="167" max="167" width="15.140625" bestFit="1" customWidth="1"/>
    <col min="168" max="168" width="11.5703125" bestFit="1" customWidth="1"/>
    <col min="169" max="169" width="12.140625" bestFit="1" customWidth="1"/>
    <col min="170" max="170" width="14.140625" bestFit="1" customWidth="1"/>
    <col min="171" max="171" width="17.28515625" bestFit="1" customWidth="1"/>
    <col min="172" max="172" width="11.85546875" bestFit="1" customWidth="1"/>
    <col min="173" max="173" width="18.7109375" bestFit="1" customWidth="1"/>
    <col min="174" max="174" width="12.140625" bestFit="1" customWidth="1"/>
    <col min="175" max="175" width="9.85546875" bestFit="1" customWidth="1"/>
    <col min="176" max="176" width="17.28515625" bestFit="1" customWidth="1"/>
    <col min="177" max="177" width="18.7109375" bestFit="1" customWidth="1"/>
    <col min="178" max="178" width="18.5703125" bestFit="1" customWidth="1"/>
    <col min="179" max="179" width="18.42578125" bestFit="1" customWidth="1"/>
    <col min="180" max="180" width="16.85546875" bestFit="1" customWidth="1"/>
    <col min="181" max="181" width="14.28515625" bestFit="1" customWidth="1"/>
    <col min="182" max="182" width="12.7109375" bestFit="1" customWidth="1"/>
    <col min="183" max="183" width="13.42578125" bestFit="1" customWidth="1"/>
    <col min="184" max="184" width="10.5703125" bestFit="1" customWidth="1"/>
    <col min="185" max="185" width="11.28515625" bestFit="1" customWidth="1"/>
  </cols>
  <sheetData>
    <row r="3" spans="1:7" x14ac:dyDescent="0.25">
      <c r="B3" s="44" t="s">
        <v>259</v>
      </c>
    </row>
    <row r="4" spans="1:7" x14ac:dyDescent="0.25">
      <c r="A4" s="44" t="s">
        <v>263</v>
      </c>
      <c r="B4" t="s">
        <v>8</v>
      </c>
      <c r="C4" t="s">
        <v>15</v>
      </c>
    </row>
    <row r="5" spans="1:7" x14ac:dyDescent="0.25">
      <c r="A5" s="45" t="s">
        <v>260</v>
      </c>
      <c r="B5" s="9">
        <v>43</v>
      </c>
      <c r="C5" s="9">
        <v>45</v>
      </c>
    </row>
    <row r="6" spans="1:7" x14ac:dyDescent="0.25">
      <c r="A6" s="45" t="s">
        <v>262</v>
      </c>
      <c r="B6" s="13">
        <v>31.395348837209301</v>
      </c>
      <c r="C6" s="13">
        <v>29.444444444444443</v>
      </c>
    </row>
    <row r="7" spans="1:7" x14ac:dyDescent="0.25">
      <c r="A7" s="45" t="s">
        <v>258</v>
      </c>
      <c r="B7" s="47">
        <v>78284.186046511633</v>
      </c>
      <c r="C7" s="47">
        <v>75334.444444444438</v>
      </c>
    </row>
    <row r="8" spans="1:7" x14ac:dyDescent="0.25">
      <c r="A8" s="45" t="s">
        <v>265</v>
      </c>
      <c r="B8" s="13">
        <v>2.4725071678878621</v>
      </c>
      <c r="C8" s="13">
        <v>2.4549771689497715</v>
      </c>
    </row>
    <row r="11" spans="1:7" x14ac:dyDescent="0.25">
      <c r="B11" s="44" t="s">
        <v>259</v>
      </c>
    </row>
    <row r="12" spans="1:7" x14ac:dyDescent="0.25">
      <c r="A12" s="44" t="s">
        <v>256</v>
      </c>
      <c r="B12" t="s">
        <v>21</v>
      </c>
      <c r="C12" t="s">
        <v>56</v>
      </c>
      <c r="D12" t="s">
        <v>9</v>
      </c>
      <c r="E12" t="s">
        <v>19</v>
      </c>
      <c r="F12" t="s">
        <v>12</v>
      </c>
      <c r="G12" t="s">
        <v>257</v>
      </c>
    </row>
    <row r="13" spans="1:7" x14ac:dyDescent="0.25">
      <c r="A13" s="45" t="s">
        <v>8</v>
      </c>
      <c r="B13" s="9"/>
      <c r="C13" s="9"/>
      <c r="D13" s="9"/>
      <c r="E13" s="9"/>
      <c r="F13" s="9"/>
      <c r="G13" s="9"/>
    </row>
    <row r="14" spans="1:7" x14ac:dyDescent="0.25">
      <c r="A14" s="46" t="s">
        <v>260</v>
      </c>
      <c r="B14" s="9">
        <v>18</v>
      </c>
      <c r="C14" s="9">
        <v>6</v>
      </c>
      <c r="D14" s="9">
        <v>20</v>
      </c>
      <c r="E14" s="9">
        <v>14</v>
      </c>
      <c r="F14" s="9">
        <v>28</v>
      </c>
      <c r="G14" s="9">
        <v>86</v>
      </c>
    </row>
    <row r="15" spans="1:7" x14ac:dyDescent="0.25">
      <c r="A15" s="46" t="s">
        <v>258</v>
      </c>
      <c r="B15" s="13">
        <v>73138.888888888891</v>
      </c>
      <c r="C15" s="9">
        <v>94240</v>
      </c>
      <c r="D15" s="9">
        <v>92236</v>
      </c>
      <c r="E15" s="9">
        <v>72720</v>
      </c>
      <c r="F15" s="13">
        <v>70989.28571428571</v>
      </c>
      <c r="G15" s="13">
        <v>78284.186046511633</v>
      </c>
    </row>
    <row r="16" spans="1:7" x14ac:dyDescent="0.25">
      <c r="A16" s="45" t="s">
        <v>15</v>
      </c>
      <c r="B16" s="9"/>
      <c r="C16" s="9"/>
      <c r="D16" s="9"/>
      <c r="E16" s="9"/>
      <c r="F16" s="9"/>
      <c r="G16" s="9"/>
    </row>
    <row r="17" spans="1:7" x14ac:dyDescent="0.25">
      <c r="A17" s="46" t="s">
        <v>260</v>
      </c>
      <c r="B17" s="9">
        <v>16</v>
      </c>
      <c r="C17" s="9">
        <v>2</v>
      </c>
      <c r="D17" s="9">
        <v>36</v>
      </c>
      <c r="E17" s="9">
        <v>14</v>
      </c>
      <c r="F17" s="9">
        <v>22</v>
      </c>
      <c r="G17" s="9">
        <v>90</v>
      </c>
    </row>
    <row r="18" spans="1:7" x14ac:dyDescent="0.25">
      <c r="A18" s="46" t="s">
        <v>258</v>
      </c>
      <c r="B18" s="13">
        <v>67411.25</v>
      </c>
      <c r="C18" s="9">
        <v>75880</v>
      </c>
      <c r="D18" s="9">
        <v>76850</v>
      </c>
      <c r="E18" s="13">
        <v>63012.857142857145</v>
      </c>
      <c r="F18" s="13">
        <v>86408.181818181823</v>
      </c>
      <c r="G18" s="13">
        <v>75334.444444444438</v>
      </c>
    </row>
    <row r="19" spans="1:7" x14ac:dyDescent="0.25">
      <c r="A19" s="45" t="s">
        <v>261</v>
      </c>
      <c r="B19" s="9">
        <v>34</v>
      </c>
      <c r="C19" s="9">
        <v>8</v>
      </c>
      <c r="D19" s="9">
        <v>56</v>
      </c>
      <c r="E19" s="9">
        <v>28</v>
      </c>
      <c r="F19" s="9">
        <v>50</v>
      </c>
      <c r="G19" s="9">
        <v>176</v>
      </c>
    </row>
    <row r="20" spans="1:7" x14ac:dyDescent="0.25">
      <c r="A20" s="45" t="s">
        <v>264</v>
      </c>
      <c r="B20" s="13">
        <v>70443.529411764699</v>
      </c>
      <c r="C20" s="9">
        <v>89650</v>
      </c>
      <c r="D20" s="9">
        <v>82345</v>
      </c>
      <c r="E20" s="13">
        <v>67866.428571428565</v>
      </c>
      <c r="F20" s="13">
        <v>77773.600000000006</v>
      </c>
      <c r="G20" s="13">
        <v>76775.795454545456</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8107B-B7F9-4972-9EFC-7B29E8FACAAC}">
  <sheetPr>
    <tabColor rgb="FFFFFF00"/>
  </sheetPr>
  <dimension ref="A1:V183"/>
  <sheetViews>
    <sheetView topLeftCell="A97" zoomScale="115" zoomScaleNormal="115" workbookViewId="0">
      <selection activeCell="A183" sqref="A183:K185"/>
    </sheetView>
  </sheetViews>
  <sheetFormatPr defaultRowHeight="15" x14ac:dyDescent="0.25"/>
  <cols>
    <col min="1" max="1" width="30" bestFit="1" customWidth="1"/>
    <col min="2" max="2" width="10" bestFit="1" customWidth="1"/>
    <col min="3" max="3" width="14" bestFit="1" customWidth="1"/>
    <col min="4" max="4" width="6.7109375" bestFit="1" customWidth="1"/>
    <col min="5" max="5" width="13.7109375" bestFit="1" customWidth="1"/>
    <col min="6" max="6" width="12.85546875" bestFit="1" customWidth="1"/>
    <col min="7" max="7" width="14.28515625" bestFit="1" customWidth="1"/>
    <col min="8" max="8" width="10.28515625" bestFit="1" customWidth="1"/>
    <col min="9" max="9" width="11.140625" bestFit="1" customWidth="1"/>
    <col min="10" max="13" width="11.5703125" customWidth="1"/>
    <col min="15" max="15" width="14.28515625" bestFit="1" customWidth="1"/>
    <col min="16" max="16" width="10.7109375" bestFit="1" customWidth="1"/>
    <col min="18" max="18" width="11.140625" bestFit="1" customWidth="1"/>
    <col min="19" max="19" width="11.7109375" bestFit="1" customWidth="1"/>
    <col min="20" max="20" width="14.28515625" bestFit="1" customWidth="1"/>
    <col min="21" max="21" width="10.85546875" bestFit="1" customWidth="1"/>
    <col min="22" max="22" width="13.42578125" bestFit="1" customWidth="1"/>
  </cols>
  <sheetData>
    <row r="1" spans="1:17" x14ac:dyDescent="0.25">
      <c r="A1" t="s">
        <v>0</v>
      </c>
      <c r="B1" t="s">
        <v>1</v>
      </c>
      <c r="C1" t="s">
        <v>2</v>
      </c>
      <c r="D1" t="s">
        <v>3</v>
      </c>
      <c r="E1" t="s">
        <v>4</v>
      </c>
      <c r="F1" t="s">
        <v>5</v>
      </c>
      <c r="G1" t="s">
        <v>6</v>
      </c>
      <c r="H1" t="s">
        <v>217</v>
      </c>
      <c r="I1" t="s">
        <v>232</v>
      </c>
      <c r="J1" t="s">
        <v>273</v>
      </c>
      <c r="K1" s="9" t="s">
        <v>283</v>
      </c>
      <c r="L1" s="9"/>
    </row>
    <row r="2" spans="1:17" ht="14.25" hidden="1" customHeight="1" x14ac:dyDescent="0.3">
      <c r="A2" s="9" t="s">
        <v>86</v>
      </c>
      <c r="B2" s="9" t="s">
        <v>8</v>
      </c>
      <c r="C2" s="9" t="s">
        <v>12</v>
      </c>
      <c r="D2">
        <v>21</v>
      </c>
      <c r="E2" s="8">
        <v>44678</v>
      </c>
      <c r="F2" s="7">
        <v>33920</v>
      </c>
      <c r="G2" t="s">
        <v>16</v>
      </c>
      <c r="H2" t="s">
        <v>218</v>
      </c>
      <c r="I2" s="13">
        <f ca="1">(TODAY()-staff[[#This Row],[Date Joined]])/365</f>
        <v>1.8849315068493151</v>
      </c>
      <c r="J2" s="48">
        <f ca="1">ROUNDUP(IF(staff[[#This Row],[Tenure]]&gt;2,3%,2%)*staff[[#This Row],[Salary]],0)</f>
        <v>679</v>
      </c>
      <c r="K2" s="9">
        <f>_xlfn.XLOOKUP(staff[[#This Row],[Rating]],$P$34:$P$38,$O$34:$O$38)</f>
        <v>3</v>
      </c>
      <c r="L2" s="9"/>
      <c r="M2" s="48"/>
      <c r="O2" s="14" t="s">
        <v>233</v>
      </c>
      <c r="P2" s="14" t="s">
        <v>234</v>
      </c>
    </row>
    <row r="3" spans="1:17" x14ac:dyDescent="0.25">
      <c r="A3" s="9" t="s">
        <v>179</v>
      </c>
      <c r="B3" s="9" t="s">
        <v>8</v>
      </c>
      <c r="C3" s="9" t="s">
        <v>12</v>
      </c>
      <c r="D3">
        <v>21</v>
      </c>
      <c r="E3" s="8">
        <v>44619</v>
      </c>
      <c r="F3" s="7">
        <v>20000</v>
      </c>
      <c r="G3" t="s">
        <v>16</v>
      </c>
      <c r="H3" t="s">
        <v>220</v>
      </c>
      <c r="I3" s="13">
        <f ca="1">(TODAY()-staff[[#This Row],[Date Joined]])/365</f>
        <v>2.0465753424657533</v>
      </c>
      <c r="J3" s="48">
        <f ca="1">ROUNDUP(IF(staff[[#This Row],[Tenure]]&gt;2,3%,2%)*staff[[#This Row],[Salary]],0)</f>
        <v>600</v>
      </c>
      <c r="K3" s="9">
        <f>_xlfn.XLOOKUP(staff[[#This Row],[Rating]],$P$34:$P$38,$O$34:$O$38)</f>
        <v>3</v>
      </c>
      <c r="L3" s="9"/>
      <c r="M3" s="48"/>
      <c r="N3" s="15" t="s">
        <v>226</v>
      </c>
      <c r="O3" s="15">
        <f>COUNTA(staff[Name])</f>
        <v>182</v>
      </c>
      <c r="P3" s="15"/>
      <c r="Q3" s="15"/>
    </row>
    <row r="4" spans="1:17" hidden="1" x14ac:dyDescent="0.25">
      <c r="A4" s="9" t="s">
        <v>44</v>
      </c>
      <c r="B4" s="9" t="s">
        <v>8</v>
      </c>
      <c r="C4" s="9" t="s">
        <v>12</v>
      </c>
      <c r="D4">
        <v>29</v>
      </c>
      <c r="E4" s="8">
        <v>44023</v>
      </c>
      <c r="F4" s="7">
        <v>34980</v>
      </c>
      <c r="G4" t="s">
        <v>16</v>
      </c>
      <c r="H4" t="s">
        <v>218</v>
      </c>
      <c r="I4" s="13">
        <f ca="1">(TODAY()-staff[[#This Row],[Date Joined]])/365</f>
        <v>3.6794520547945204</v>
      </c>
      <c r="J4" s="48">
        <f ca="1">ROUNDUP(IF(staff[[#This Row],[Tenure]]&gt;2,3%,2%)*staff[[#This Row],[Salary]],0)</f>
        <v>1050</v>
      </c>
      <c r="K4" s="9">
        <f>_xlfn.XLOOKUP(staff[[#This Row],[Rating]],$P$34:$P$38,$O$34:$O$38)</f>
        <v>3</v>
      </c>
      <c r="L4" s="9"/>
      <c r="M4" s="48"/>
      <c r="N4" s="15" t="s">
        <v>227</v>
      </c>
      <c r="O4" s="16">
        <f>AVERAGE(staff[Salary])</f>
        <v>76739.505494505502</v>
      </c>
      <c r="P4" s="15">
        <f>MEDIAN(staff[Salary])</f>
        <v>75000</v>
      </c>
      <c r="Q4" s="15"/>
    </row>
    <row r="5" spans="1:17" x14ac:dyDescent="0.25">
      <c r="A5" s="9" t="s">
        <v>137</v>
      </c>
      <c r="B5" s="9" t="s">
        <v>8</v>
      </c>
      <c r="C5" s="9" t="s">
        <v>12</v>
      </c>
      <c r="D5">
        <v>29</v>
      </c>
      <c r="E5" s="8">
        <v>43962</v>
      </c>
      <c r="F5" s="7">
        <v>18000</v>
      </c>
      <c r="G5" t="s">
        <v>16</v>
      </c>
      <c r="H5" t="s">
        <v>220</v>
      </c>
      <c r="I5" s="13">
        <f ca="1">(TODAY()-staff[[#This Row],[Date Joined]])/365</f>
        <v>3.8465753424657536</v>
      </c>
      <c r="J5" s="48">
        <f ca="1">ROUNDUP(IF(staff[[#This Row],[Tenure]]&gt;2,3%,2%)*staff[[#This Row],[Salary]],0)</f>
        <v>540</v>
      </c>
      <c r="K5" s="9">
        <f>_xlfn.XLOOKUP(staff[[#This Row],[Rating]],$P$34:$P$38,$O$34:$O$38)</f>
        <v>3</v>
      </c>
      <c r="L5" s="9"/>
      <c r="M5" s="48"/>
      <c r="N5" s="15" t="s">
        <v>228</v>
      </c>
      <c r="O5" s="17">
        <f>AVERAGE(staff[Age])</f>
        <v>30.434065934065934</v>
      </c>
      <c r="P5" s="15">
        <f>MEDIAN(staff[Age])</f>
        <v>30</v>
      </c>
      <c r="Q5" s="15"/>
    </row>
    <row r="6" spans="1:17" hidden="1" x14ac:dyDescent="0.25">
      <c r="A6" s="9" t="s">
        <v>99</v>
      </c>
      <c r="B6" s="9" t="s">
        <v>15</v>
      </c>
      <c r="C6" s="9" t="s">
        <v>19</v>
      </c>
      <c r="D6">
        <v>43</v>
      </c>
      <c r="E6" s="8">
        <v>44620</v>
      </c>
      <c r="F6" s="7">
        <v>36040</v>
      </c>
      <c r="G6" t="s">
        <v>16</v>
      </c>
      <c r="H6" t="s">
        <v>218</v>
      </c>
      <c r="I6" s="13">
        <f ca="1">(TODAY()-staff[[#This Row],[Date Joined]])/365</f>
        <v>2.043835616438356</v>
      </c>
      <c r="J6" s="48">
        <f ca="1">ROUNDUP(IF(staff[[#This Row],[Tenure]]&gt;2,3%,2%)*staff[[#This Row],[Salary]],0)</f>
        <v>1082</v>
      </c>
      <c r="K6" s="9">
        <f>_xlfn.XLOOKUP(staff[[#This Row],[Rating]],$P$34:$P$38,$O$34:$O$38)</f>
        <v>3</v>
      </c>
      <c r="L6" s="9"/>
      <c r="M6" s="48"/>
      <c r="N6" s="15" t="s">
        <v>229</v>
      </c>
      <c r="O6" s="17">
        <f ca="1">AVERAGE(staff[Tenure])</f>
        <v>2.5392593707662208</v>
      </c>
      <c r="P6" s="17">
        <f ca="1">MEDIAN(staff[Tenure])</f>
        <v>2.5520547945205481</v>
      </c>
      <c r="Q6" s="15"/>
    </row>
    <row r="7" spans="1:17" x14ac:dyDescent="0.25">
      <c r="A7" s="9" t="s">
        <v>192</v>
      </c>
      <c r="B7" s="9" t="s">
        <v>15</v>
      </c>
      <c r="C7" s="9" t="s">
        <v>19</v>
      </c>
      <c r="D7">
        <v>43</v>
      </c>
      <c r="E7" s="8">
        <v>44558</v>
      </c>
      <c r="F7" s="7">
        <v>36040</v>
      </c>
      <c r="G7" t="s">
        <v>16</v>
      </c>
      <c r="H7" t="s">
        <v>220</v>
      </c>
      <c r="I7" s="13">
        <f ca="1">(TODAY()-staff[[#This Row],[Date Joined]])/365</f>
        <v>2.2136986301369861</v>
      </c>
      <c r="J7" s="48">
        <f ca="1">ROUNDUP(IF(staff[[#This Row],[Tenure]]&gt;2,3%,2%)*staff[[#This Row],[Salary]],0)</f>
        <v>1082</v>
      </c>
      <c r="K7" s="9">
        <f>_xlfn.XLOOKUP(staff[[#This Row],[Rating]],$P$34:$P$38,$O$34:$O$38)</f>
        <v>3</v>
      </c>
      <c r="L7" s="9"/>
      <c r="M7" s="48"/>
      <c r="N7" s="15"/>
      <c r="O7" s="15"/>
      <c r="P7" s="15"/>
      <c r="Q7" s="15"/>
    </row>
    <row r="8" spans="1:17" hidden="1" x14ac:dyDescent="0.25">
      <c r="A8" s="9" t="s">
        <v>47</v>
      </c>
      <c r="B8" s="9" t="s">
        <v>15</v>
      </c>
      <c r="C8" s="9" t="s">
        <v>9</v>
      </c>
      <c r="D8">
        <v>21</v>
      </c>
      <c r="E8" s="8">
        <v>44104</v>
      </c>
      <c r="F8" s="7">
        <v>37920</v>
      </c>
      <c r="G8" t="s">
        <v>16</v>
      </c>
      <c r="H8" t="s">
        <v>218</v>
      </c>
      <c r="I8" s="13">
        <f ca="1">(TODAY()-staff[[#This Row],[Date Joined]])/365</f>
        <v>3.4575342465753423</v>
      </c>
      <c r="J8" s="48">
        <f ca="1">ROUNDUP(IF(staff[[#This Row],[Tenure]]&gt;2,3%,2%)*staff[[#This Row],[Salary]],0)</f>
        <v>1138</v>
      </c>
      <c r="K8" s="9">
        <f>_xlfn.XLOOKUP(staff[[#This Row],[Rating]],$P$34:$P$38,$O$34:$O$38)</f>
        <v>3</v>
      </c>
      <c r="L8" s="9"/>
      <c r="M8" s="48"/>
      <c r="N8" s="18" t="s">
        <v>231</v>
      </c>
      <c r="O8" s="18" t="s">
        <v>235</v>
      </c>
      <c r="P8" s="18" t="s">
        <v>236</v>
      </c>
      <c r="Q8" s="18" t="s">
        <v>237</v>
      </c>
    </row>
    <row r="9" spans="1:17" x14ac:dyDescent="0.25">
      <c r="A9" s="9" t="s">
        <v>140</v>
      </c>
      <c r="B9" s="9" t="s">
        <v>15</v>
      </c>
      <c r="C9" s="9" t="s">
        <v>9</v>
      </c>
      <c r="D9">
        <v>21</v>
      </c>
      <c r="E9" s="8">
        <v>44042</v>
      </c>
      <c r="F9" s="7">
        <v>37920</v>
      </c>
      <c r="G9" t="s">
        <v>16</v>
      </c>
      <c r="H9" t="s">
        <v>220</v>
      </c>
      <c r="I9" s="13">
        <f ca="1">(TODAY()-staff[[#This Row],[Date Joined]])/365</f>
        <v>3.6273972602739728</v>
      </c>
      <c r="J9" s="48">
        <f ca="1">ROUNDUP(IF(staff[[#This Row],[Tenure]]&gt;2,3%,2%)*staff[[#This Row],[Salary]],0)</f>
        <v>1138</v>
      </c>
      <c r="K9" s="9">
        <f>_xlfn.XLOOKUP(staff[[#This Row],[Rating]],$P$34:$P$38,$O$34:$O$38)</f>
        <v>3</v>
      </c>
      <c r="L9" s="9"/>
      <c r="M9" s="48"/>
      <c r="N9" s="18"/>
      <c r="O9" s="18">
        <f>COUNTIFS(staff[Gender],"FEMALE")</f>
        <v>85</v>
      </c>
      <c r="P9" s="18">
        <f>COUNTIFS(staff[Gender],"MALE")</f>
        <v>89</v>
      </c>
      <c r="Q9" s="18">
        <f>COUNTA(staff[Gender])</f>
        <v>182</v>
      </c>
    </row>
    <row r="10" spans="1:17" ht="30" hidden="1" x14ac:dyDescent="0.25">
      <c r="A10" s="9" t="s">
        <v>57</v>
      </c>
      <c r="B10" s="9" t="s">
        <v>15</v>
      </c>
      <c r="C10" s="9" t="s">
        <v>9</v>
      </c>
      <c r="D10">
        <v>35</v>
      </c>
      <c r="E10" s="8">
        <v>44727</v>
      </c>
      <c r="F10" s="7">
        <v>40400</v>
      </c>
      <c r="G10" t="s">
        <v>16</v>
      </c>
      <c r="H10" t="s">
        <v>218</v>
      </c>
      <c r="I10" s="13">
        <f ca="1">(TODAY()-staff[[#This Row],[Date Joined]])/365</f>
        <v>1.7506849315068493</v>
      </c>
      <c r="J10" s="48">
        <f ca="1">ROUNDUP(IF(staff[[#This Row],[Tenure]]&gt;2,3%,2%)*staff[[#This Row],[Salary]],0)</f>
        <v>808</v>
      </c>
      <c r="K10" s="9">
        <f>_xlfn.XLOOKUP(staff[[#This Row],[Rating]],$P$34:$P$38,$O$34:$O$38)</f>
        <v>3</v>
      </c>
      <c r="L10" s="9"/>
      <c r="M10" s="48"/>
      <c r="N10" s="18"/>
      <c r="O10" s="19" t="s">
        <v>238</v>
      </c>
      <c r="P10" s="19" t="s">
        <v>239</v>
      </c>
      <c r="Q10" s="18"/>
    </row>
    <row r="11" spans="1:17" x14ac:dyDescent="0.25">
      <c r="A11" s="9" t="s">
        <v>149</v>
      </c>
      <c r="B11" s="9" t="s">
        <v>15</v>
      </c>
      <c r="C11" s="9" t="s">
        <v>9</v>
      </c>
      <c r="D11">
        <v>35</v>
      </c>
      <c r="E11" s="8">
        <v>44666</v>
      </c>
      <c r="F11" s="7">
        <v>40400</v>
      </c>
      <c r="G11" t="s">
        <v>16</v>
      </c>
      <c r="H11" t="s">
        <v>220</v>
      </c>
      <c r="I11" s="13">
        <f ca="1">(TODAY()-staff[[#This Row],[Date Joined]])/365</f>
        <v>1.9178082191780821</v>
      </c>
      <c r="J11" s="48">
        <f ca="1">ROUNDUP(IF(staff[[#This Row],[Tenure]]&gt;2,3%,2%)*staff[[#This Row],[Salary]],0)</f>
        <v>808</v>
      </c>
      <c r="K11" s="9">
        <f>_xlfn.XLOOKUP(staff[[#This Row],[Rating]],$P$34:$P$38,$O$34:$O$38)</f>
        <v>3</v>
      </c>
      <c r="L11" s="9"/>
      <c r="M11" s="48"/>
      <c r="N11" s="18"/>
      <c r="O11" s="20">
        <f xml:space="preserve"> O9 / Q9</f>
        <v>0.46703296703296704</v>
      </c>
      <c r="P11" s="20">
        <f>P9/Q9</f>
        <v>0.48901098901098899</v>
      </c>
      <c r="Q11" s="18"/>
    </row>
    <row r="12" spans="1:17" hidden="1" x14ac:dyDescent="0.25">
      <c r="A12" s="9" t="s">
        <v>66</v>
      </c>
      <c r="B12" s="9" t="s">
        <v>8</v>
      </c>
      <c r="C12" s="9" t="s">
        <v>9</v>
      </c>
      <c r="D12">
        <v>32</v>
      </c>
      <c r="E12" s="8">
        <v>44611</v>
      </c>
      <c r="F12" s="7">
        <v>41570</v>
      </c>
      <c r="G12" t="s">
        <v>16</v>
      </c>
      <c r="H12" t="s">
        <v>218</v>
      </c>
      <c r="I12" s="13">
        <f ca="1">(TODAY()-staff[[#This Row],[Date Joined]])/365</f>
        <v>2.0684931506849313</v>
      </c>
      <c r="J12" s="48">
        <f ca="1">ROUNDUP(IF(staff[[#This Row],[Tenure]]&gt;2,3%,2%)*staff[[#This Row],[Salary]],0)</f>
        <v>1248</v>
      </c>
      <c r="K12" s="9">
        <f>_xlfn.XLOOKUP(staff[[#This Row],[Rating]],$P$34:$P$38,$O$34:$O$38)</f>
        <v>3</v>
      </c>
      <c r="L12" s="9"/>
      <c r="M12" s="48"/>
      <c r="N12" s="21" t="s">
        <v>241</v>
      </c>
      <c r="O12" s="21">
        <f>COUNTIFS(staff[Salary],"&gt;"&amp;90000)</f>
        <v>62</v>
      </c>
      <c r="P12" s="21"/>
      <c r="Q12" s="22">
        <f xml:space="preserve"> O12 / Q9</f>
        <v>0.34065934065934067</v>
      </c>
    </row>
    <row r="13" spans="1:17" x14ac:dyDescent="0.25">
      <c r="A13" s="9" t="s">
        <v>158</v>
      </c>
      <c r="B13" s="9" t="s">
        <v>8</v>
      </c>
      <c r="C13" s="9" t="s">
        <v>9</v>
      </c>
      <c r="D13">
        <v>32</v>
      </c>
      <c r="E13" s="8">
        <v>44549</v>
      </c>
      <c r="F13" s="7">
        <v>41570</v>
      </c>
      <c r="G13" t="s">
        <v>16</v>
      </c>
      <c r="H13" t="s">
        <v>220</v>
      </c>
      <c r="I13" s="13">
        <f ca="1">(TODAY()-staff[[#This Row],[Date Joined]])/365</f>
        <v>2.2383561643835614</v>
      </c>
      <c r="J13" s="48">
        <f ca="1">ROUNDUP(IF(staff[[#This Row],[Tenure]]&gt;2,3%,2%)*staff[[#This Row],[Salary]],0)</f>
        <v>1248</v>
      </c>
      <c r="K13" s="9">
        <f>_xlfn.XLOOKUP(staff[[#This Row],[Rating]],$P$34:$P$38,$O$34:$O$38)</f>
        <v>3</v>
      </c>
      <c r="L13" s="9"/>
      <c r="M13" s="48"/>
    </row>
    <row r="14" spans="1:17" hidden="1" x14ac:dyDescent="0.25">
      <c r="A14" s="9" t="s">
        <v>30</v>
      </c>
      <c r="B14" s="9" t="s">
        <v>8</v>
      </c>
      <c r="C14" s="9" t="s">
        <v>12</v>
      </c>
      <c r="D14">
        <v>31</v>
      </c>
      <c r="E14" s="8">
        <v>44145</v>
      </c>
      <c r="F14" s="7">
        <v>41980</v>
      </c>
      <c r="G14" t="s">
        <v>16</v>
      </c>
      <c r="H14" t="s">
        <v>218</v>
      </c>
      <c r="I14" s="13">
        <f ca="1">(TODAY()-staff[[#This Row],[Date Joined]])/365</f>
        <v>3.3452054794520549</v>
      </c>
      <c r="J14" s="48">
        <f ca="1">ROUNDUP(IF(staff[[#This Row],[Tenure]]&gt;2,3%,2%)*staff[[#This Row],[Salary]],0)</f>
        <v>1260</v>
      </c>
      <c r="K14" s="9">
        <f>_xlfn.XLOOKUP(staff[[#This Row],[Rating]],$P$34:$P$38,$O$34:$O$38)</f>
        <v>3</v>
      </c>
      <c r="L14" s="9"/>
      <c r="M14" s="48"/>
      <c r="Q14" t="s">
        <v>243</v>
      </c>
    </row>
    <row r="15" spans="1:17" x14ac:dyDescent="0.25">
      <c r="A15" s="9" t="s">
        <v>124</v>
      </c>
      <c r="B15" s="9" t="s">
        <v>8</v>
      </c>
      <c r="C15" s="9" t="s">
        <v>12</v>
      </c>
      <c r="D15">
        <v>31</v>
      </c>
      <c r="E15" s="8">
        <v>44084</v>
      </c>
      <c r="F15" s="7">
        <v>41980</v>
      </c>
      <c r="G15" t="s">
        <v>16</v>
      </c>
      <c r="H15" t="s">
        <v>220</v>
      </c>
      <c r="I15" s="13">
        <f ca="1">(TODAY()-staff[[#This Row],[Date Joined]])/365</f>
        <v>3.5123287671232877</v>
      </c>
      <c r="J15" s="48">
        <f ca="1">ROUNDUP(IF(staff[[#This Row],[Tenure]]&gt;2,3%,2%)*staff[[#This Row],[Salary]],0)</f>
        <v>1260</v>
      </c>
      <c r="K15" s="9">
        <f>_xlfn.XLOOKUP(staff[[#This Row],[Rating]],$P$34:$P$38,$O$34:$O$38)</f>
        <v>3</v>
      </c>
      <c r="L15" s="9"/>
      <c r="M15" s="48"/>
      <c r="N15" s="23">
        <v>2</v>
      </c>
    </row>
    <row r="16" spans="1:17" hidden="1" x14ac:dyDescent="0.25">
      <c r="A16" s="9" t="s">
        <v>80</v>
      </c>
      <c r="B16" s="9" t="s">
        <v>15</v>
      </c>
      <c r="C16" s="9" t="s">
        <v>19</v>
      </c>
      <c r="D16">
        <v>28</v>
      </c>
      <c r="E16" s="8">
        <v>44820</v>
      </c>
      <c r="F16" s="7">
        <v>43510</v>
      </c>
      <c r="G16" t="s">
        <v>42</v>
      </c>
      <c r="H16" t="s">
        <v>218</v>
      </c>
      <c r="I16" s="13">
        <f ca="1">(TODAY()-staff[[#This Row],[Date Joined]])/365</f>
        <v>1.4958904109589042</v>
      </c>
      <c r="J16" s="48">
        <f ca="1">ROUNDUP(IF(staff[[#This Row],[Tenure]]&gt;2,3%,2%)*staff[[#This Row],[Salary]],0)</f>
        <v>871</v>
      </c>
      <c r="K16" s="9">
        <f>_xlfn.XLOOKUP(staff[[#This Row],[Rating]],$P$34:$P$38,$O$34:$O$38)</f>
        <v>1</v>
      </c>
      <c r="L16" s="9"/>
      <c r="M16" s="48"/>
      <c r="O16" s="24" t="s">
        <v>58</v>
      </c>
    </row>
    <row r="17" spans="1:22" ht="15.75" thickBot="1" x14ac:dyDescent="0.3">
      <c r="A17" s="9" t="s">
        <v>172</v>
      </c>
      <c r="B17" s="9" t="s">
        <v>15</v>
      </c>
      <c r="C17" s="9" t="s">
        <v>19</v>
      </c>
      <c r="D17">
        <v>28</v>
      </c>
      <c r="E17" s="8">
        <v>44758</v>
      </c>
      <c r="F17" s="7">
        <v>43510</v>
      </c>
      <c r="G17" t="s">
        <v>42</v>
      </c>
      <c r="H17" t="s">
        <v>220</v>
      </c>
      <c r="I17" s="13">
        <f ca="1">(TODAY()-staff[[#This Row],[Date Joined]])/365</f>
        <v>1.6657534246575343</v>
      </c>
      <c r="J17" s="48">
        <f ca="1">ROUNDUP(IF(staff[[#This Row],[Tenure]]&gt;2,3%,2%)*staff[[#This Row],[Salary]],0)</f>
        <v>871</v>
      </c>
      <c r="K17" s="9">
        <f>_xlfn.XLOOKUP(staff[[#This Row],[Rating]],$P$34:$P$38,$O$34:$O$38)</f>
        <v>1</v>
      </c>
      <c r="L17" s="9"/>
      <c r="M17" s="48"/>
      <c r="O17" s="10" t="s">
        <v>1</v>
      </c>
      <c r="P17" s="10" t="s">
        <v>2</v>
      </c>
      <c r="Q17" s="10" t="s">
        <v>3</v>
      </c>
      <c r="R17" s="10" t="s">
        <v>4</v>
      </c>
      <c r="S17" s="10" t="s">
        <v>5</v>
      </c>
      <c r="T17" s="10" t="s">
        <v>6</v>
      </c>
      <c r="U17" s="10" t="s">
        <v>217</v>
      </c>
      <c r="V17" s="11" t="s">
        <v>232</v>
      </c>
    </row>
    <row r="18" spans="1:22" ht="15.75" hidden="1" thickBot="1" x14ac:dyDescent="0.3">
      <c r="A18" s="9" t="s">
        <v>84</v>
      </c>
      <c r="B18" s="9" t="s">
        <v>8</v>
      </c>
      <c r="C18" s="9" t="s">
        <v>12</v>
      </c>
      <c r="D18">
        <v>32</v>
      </c>
      <c r="E18" s="8">
        <v>44354</v>
      </c>
      <c r="F18" s="7">
        <v>43840</v>
      </c>
      <c r="G18" t="s">
        <v>13</v>
      </c>
      <c r="H18" t="s">
        <v>218</v>
      </c>
      <c r="I18" s="13">
        <f ca="1">(TODAY()-staff[[#This Row],[Date Joined]])/365</f>
        <v>2.7726027397260276</v>
      </c>
      <c r="J18" s="48">
        <f ca="1">ROUNDUP(IF(staff[[#This Row],[Tenure]]&gt;2,3%,2%)*staff[[#This Row],[Salary]],0)</f>
        <v>1316</v>
      </c>
      <c r="K18" s="9">
        <f>_xlfn.XLOOKUP(staff[[#This Row],[Rating]],$P$34:$P$38,$O$34:$O$38)</f>
        <v>4</v>
      </c>
      <c r="L18" s="9"/>
      <c r="M18" s="48"/>
      <c r="N18" s="25" t="s">
        <v>242</v>
      </c>
      <c r="O18" s="25" t="str" cm="1">
        <f t="array" aca="1" ref="O18:V18" ca="1">_xlfn.XLOOKUP(O16,staff[Name],staff[[Gender]:[Tenure]],"name not found",1)</f>
        <v>Male</v>
      </c>
      <c r="P18" s="25" t="str">
        <f ca="1"/>
        <v>Sales</v>
      </c>
      <c r="Q18" s="25">
        <f ca="1"/>
        <v>22</v>
      </c>
      <c r="R18" s="26">
        <f ca="1"/>
        <v>44446</v>
      </c>
      <c r="S18" s="27">
        <f ca="1"/>
        <v>112780</v>
      </c>
      <c r="T18" s="25" t="str">
        <f ca="1"/>
        <v>Above average</v>
      </c>
      <c r="U18" s="25" t="str">
        <f ca="1"/>
        <v>NZ</v>
      </c>
      <c r="V18" s="25">
        <f ca="1"/>
        <v>2.5205479452054793</v>
      </c>
    </row>
    <row r="19" spans="1:22" ht="15.75" thickBot="1" x14ac:dyDescent="0.3">
      <c r="A19" s="9" t="s">
        <v>176</v>
      </c>
      <c r="B19" s="9" t="s">
        <v>8</v>
      </c>
      <c r="C19" s="9" t="s">
        <v>12</v>
      </c>
      <c r="D19">
        <v>32</v>
      </c>
      <c r="E19" s="8">
        <v>44293</v>
      </c>
      <c r="F19" s="7">
        <v>43840</v>
      </c>
      <c r="G19" t="s">
        <v>13</v>
      </c>
      <c r="H19" t="s">
        <v>220</v>
      </c>
      <c r="I19" s="13">
        <f ca="1">(TODAY()-staff[[#This Row],[Date Joined]])/365</f>
        <v>2.9397260273972603</v>
      </c>
      <c r="J19" s="48">
        <f ca="1">ROUNDUP(IF(staff[[#This Row],[Tenure]]&gt;2,3%,2%)*staff[[#This Row],[Salary]],0)</f>
        <v>1316</v>
      </c>
      <c r="K19" s="9">
        <f>_xlfn.XLOOKUP(staff[[#This Row],[Rating]],$P$34:$P$38,$O$34:$O$38)</f>
        <v>4</v>
      </c>
      <c r="L19" s="9"/>
      <c r="M19" s="48"/>
      <c r="N19" s="28" t="s">
        <v>1</v>
      </c>
      <c r="O19" s="29" t="str" cm="1">
        <f t="array" aca="1" ref="O19:O26" ca="1">TRANSPOSE(_xlfn.XLOOKUP(O16,staff[Name],staff[[Gender]:[Tenure]]))</f>
        <v>Male</v>
      </c>
      <c r="Q19" s="36"/>
    </row>
    <row r="20" spans="1:22" ht="15.75" hidden="1" thickTop="1" x14ac:dyDescent="0.25">
      <c r="A20" s="9" t="s">
        <v>108</v>
      </c>
      <c r="B20" s="9" t="s">
        <v>8</v>
      </c>
      <c r="C20" s="9" t="s">
        <v>56</v>
      </c>
      <c r="D20">
        <v>32</v>
      </c>
      <c r="E20" s="8">
        <v>44400</v>
      </c>
      <c r="F20" s="7">
        <v>45510</v>
      </c>
      <c r="G20" t="s">
        <v>16</v>
      </c>
      <c r="H20" t="s">
        <v>218</v>
      </c>
      <c r="I20" s="13">
        <f ca="1">(TODAY()-staff[[#This Row],[Date Joined]])/365</f>
        <v>2.6465753424657534</v>
      </c>
      <c r="J20" s="48">
        <f ca="1">ROUNDUP(IF(staff[[#This Row],[Tenure]]&gt;2,3%,2%)*staff[[#This Row],[Salary]],0)</f>
        <v>1366</v>
      </c>
      <c r="K20" s="9">
        <f>_xlfn.XLOOKUP(staff[[#This Row],[Rating]],$P$34:$P$38,$O$34:$O$38)</f>
        <v>3</v>
      </c>
      <c r="L20" s="9"/>
      <c r="M20" s="48"/>
      <c r="N20" s="30" t="s">
        <v>2</v>
      </c>
      <c r="O20" s="31" t="str">
        <f ca="1"/>
        <v>Sales</v>
      </c>
    </row>
    <row r="21" spans="1:22" ht="15.75" thickTop="1" x14ac:dyDescent="0.25">
      <c r="A21" s="9" t="s">
        <v>201</v>
      </c>
      <c r="B21" s="9" t="s">
        <v>8</v>
      </c>
      <c r="C21" s="9" t="s">
        <v>56</v>
      </c>
      <c r="D21">
        <v>32</v>
      </c>
      <c r="E21" s="8">
        <v>44339</v>
      </c>
      <c r="F21" s="7">
        <v>45510</v>
      </c>
      <c r="G21" t="s">
        <v>16</v>
      </c>
      <c r="H21" t="s">
        <v>220</v>
      </c>
      <c r="I21" s="13">
        <f ca="1">(TODAY()-staff[[#This Row],[Date Joined]])/365</f>
        <v>2.8136986301369862</v>
      </c>
      <c r="J21" s="48">
        <f ca="1">ROUNDUP(IF(staff[[#This Row],[Tenure]]&gt;2,3%,2%)*staff[[#This Row],[Salary]],0)</f>
        <v>1366</v>
      </c>
      <c r="K21" s="9">
        <f>_xlfn.XLOOKUP(staff[[#This Row],[Rating]],$P$34:$P$38,$O$34:$O$38)</f>
        <v>3</v>
      </c>
      <c r="L21" s="9"/>
      <c r="M21" s="48"/>
      <c r="N21" s="30" t="s">
        <v>3</v>
      </c>
      <c r="O21" s="31">
        <f ca="1"/>
        <v>22</v>
      </c>
    </row>
    <row r="22" spans="1:22" hidden="1" x14ac:dyDescent="0.25">
      <c r="A22" s="9" t="s">
        <v>59</v>
      </c>
      <c r="B22" s="9" t="s">
        <v>15</v>
      </c>
      <c r="C22" s="9" t="s">
        <v>9</v>
      </c>
      <c r="D22">
        <v>26</v>
      </c>
      <c r="E22" s="8">
        <v>44225</v>
      </c>
      <c r="F22" s="7">
        <v>47360</v>
      </c>
      <c r="G22" t="s">
        <v>16</v>
      </c>
      <c r="H22" t="s">
        <v>218</v>
      </c>
      <c r="I22" s="13">
        <f ca="1">(TODAY()-staff[[#This Row],[Date Joined]])/365</f>
        <v>3.1260273972602741</v>
      </c>
      <c r="J22" s="48">
        <f ca="1">ROUNDUP(IF(staff[[#This Row],[Tenure]]&gt;2,3%,2%)*staff[[#This Row],[Salary]],0)</f>
        <v>1421</v>
      </c>
      <c r="K22" s="9">
        <f>_xlfn.XLOOKUP(staff[[#This Row],[Rating]],$P$34:$P$38,$O$34:$O$38)</f>
        <v>3</v>
      </c>
      <c r="L22" s="9"/>
      <c r="M22" s="48"/>
      <c r="N22" s="30" t="s">
        <v>4</v>
      </c>
      <c r="O22" s="32">
        <f ca="1"/>
        <v>44446</v>
      </c>
    </row>
    <row r="23" spans="1:22" x14ac:dyDescent="0.25">
      <c r="A23" s="9" t="s">
        <v>151</v>
      </c>
      <c r="B23" s="9" t="s">
        <v>15</v>
      </c>
      <c r="C23" s="9" t="s">
        <v>9</v>
      </c>
      <c r="D23">
        <v>26</v>
      </c>
      <c r="E23" s="8">
        <v>44164</v>
      </c>
      <c r="F23" s="7">
        <v>47360</v>
      </c>
      <c r="G23" t="s">
        <v>16</v>
      </c>
      <c r="H23" t="s">
        <v>220</v>
      </c>
      <c r="I23" s="13">
        <f ca="1">(TODAY()-staff[[#This Row],[Date Joined]])/365</f>
        <v>3.2931506849315069</v>
      </c>
      <c r="J23" s="48">
        <f ca="1">ROUNDUP(IF(staff[[#This Row],[Tenure]]&gt;2,3%,2%)*staff[[#This Row],[Salary]],0)</f>
        <v>1421</v>
      </c>
      <c r="K23" s="9">
        <f>_xlfn.XLOOKUP(staff[[#This Row],[Rating]],$P$34:$P$38,$O$34:$O$38)</f>
        <v>3</v>
      </c>
      <c r="L23" s="9"/>
      <c r="M23" s="48"/>
      <c r="N23" s="30" t="s">
        <v>5</v>
      </c>
      <c r="O23" s="33">
        <f ca="1"/>
        <v>112780</v>
      </c>
    </row>
    <row r="24" spans="1:22" hidden="1" x14ac:dyDescent="0.25">
      <c r="A24" s="9" t="s">
        <v>29</v>
      </c>
      <c r="B24" s="9" t="s">
        <v>15</v>
      </c>
      <c r="C24" s="9" t="s">
        <v>21</v>
      </c>
      <c r="D24">
        <v>28</v>
      </c>
      <c r="E24" s="8">
        <v>44041</v>
      </c>
      <c r="F24" s="7">
        <v>48170</v>
      </c>
      <c r="G24" t="s">
        <v>13</v>
      </c>
      <c r="H24" t="s">
        <v>218</v>
      </c>
      <c r="I24" s="13">
        <f ca="1">(TODAY()-staff[[#This Row],[Date Joined]])/365</f>
        <v>3.6301369863013697</v>
      </c>
      <c r="J24" s="48">
        <f ca="1">ROUNDUP(IF(staff[[#This Row],[Tenure]]&gt;2,3%,2%)*staff[[#This Row],[Salary]],0)</f>
        <v>1446</v>
      </c>
      <c r="K24" s="9">
        <f>_xlfn.XLOOKUP(staff[[#This Row],[Rating]],$P$34:$P$38,$O$34:$O$38)</f>
        <v>4</v>
      </c>
      <c r="L24" s="9"/>
      <c r="M24" s="48"/>
      <c r="N24" s="30" t="s">
        <v>6</v>
      </c>
      <c r="O24" s="31" t="str">
        <f ca="1"/>
        <v>Above average</v>
      </c>
    </row>
    <row r="25" spans="1:22" x14ac:dyDescent="0.25">
      <c r="A25" s="9" t="s">
        <v>123</v>
      </c>
      <c r="B25" s="9" t="s">
        <v>15</v>
      </c>
      <c r="C25" s="9" t="s">
        <v>21</v>
      </c>
      <c r="D25">
        <v>28</v>
      </c>
      <c r="E25" s="8">
        <v>43980</v>
      </c>
      <c r="F25" s="7">
        <v>48170</v>
      </c>
      <c r="G25" t="s">
        <v>13</v>
      </c>
      <c r="H25" t="s">
        <v>220</v>
      </c>
      <c r="I25" s="13">
        <f ca="1">(TODAY()-staff[[#This Row],[Date Joined]])/365</f>
        <v>3.7972602739726029</v>
      </c>
      <c r="J25" s="48">
        <f ca="1">ROUNDUP(IF(staff[[#This Row],[Tenure]]&gt;2,3%,2%)*staff[[#This Row],[Salary]],0)</f>
        <v>1446</v>
      </c>
      <c r="K25" s="9">
        <f>_xlfn.XLOOKUP(staff[[#This Row],[Rating]],$P$34:$P$38,$O$34:$O$38)</f>
        <v>4</v>
      </c>
      <c r="L25" s="9"/>
      <c r="M25" s="48"/>
      <c r="N25" s="30" t="s">
        <v>217</v>
      </c>
      <c r="O25" s="31" t="str">
        <f ca="1"/>
        <v>NZ</v>
      </c>
    </row>
    <row r="26" spans="1:22" ht="15.75" hidden="1" thickBot="1" x14ac:dyDescent="0.3">
      <c r="A26" s="9" t="s">
        <v>51</v>
      </c>
      <c r="B26" s="9" t="s">
        <v>15</v>
      </c>
      <c r="C26" s="9" t="s">
        <v>9</v>
      </c>
      <c r="D26">
        <v>33</v>
      </c>
      <c r="E26" s="8">
        <v>44701</v>
      </c>
      <c r="F26" s="7">
        <v>48530</v>
      </c>
      <c r="G26" t="s">
        <v>13</v>
      </c>
      <c r="H26" t="s">
        <v>218</v>
      </c>
      <c r="I26" s="13">
        <f ca="1">(TODAY()-staff[[#This Row],[Date Joined]])/365</f>
        <v>1.821917808219178</v>
      </c>
      <c r="J26" s="48">
        <f ca="1">ROUNDUP(IF(staff[[#This Row],[Tenure]]&gt;2,3%,2%)*staff[[#This Row],[Salary]],0)</f>
        <v>971</v>
      </c>
      <c r="K26" s="9">
        <f>_xlfn.XLOOKUP(staff[[#This Row],[Rating]],$P$34:$P$38,$O$34:$O$38)</f>
        <v>4</v>
      </c>
      <c r="L26" s="9"/>
      <c r="M26" s="48"/>
      <c r="N26" s="34" t="s">
        <v>232</v>
      </c>
      <c r="O26" s="35">
        <f ca="1"/>
        <v>2.5205479452054793</v>
      </c>
    </row>
    <row r="27" spans="1:22" x14ac:dyDescent="0.25">
      <c r="A27" s="9" t="s">
        <v>144</v>
      </c>
      <c r="B27" s="9" t="s">
        <v>15</v>
      </c>
      <c r="C27" s="9" t="s">
        <v>9</v>
      </c>
      <c r="D27">
        <v>33</v>
      </c>
      <c r="E27" s="8">
        <v>44640</v>
      </c>
      <c r="F27" s="7">
        <v>48530</v>
      </c>
      <c r="G27" t="s">
        <v>13</v>
      </c>
      <c r="H27" t="s">
        <v>220</v>
      </c>
      <c r="I27" s="13">
        <f ca="1">(TODAY()-staff[[#This Row],[Date Joined]])/365</f>
        <v>1.989041095890411</v>
      </c>
      <c r="J27" s="48">
        <f ca="1">ROUNDUP(IF(staff[[#This Row],[Tenure]]&gt;2,3%,2%)*staff[[#This Row],[Salary]],0)</f>
        <v>971</v>
      </c>
      <c r="K27" s="9">
        <f>_xlfn.XLOOKUP(staff[[#This Row],[Rating]],$P$34:$P$38,$O$34:$O$38)</f>
        <v>4</v>
      </c>
      <c r="L27" s="9"/>
      <c r="M27" s="48"/>
      <c r="N27" s="39" t="s">
        <v>246</v>
      </c>
      <c r="O27" s="40"/>
      <c r="P27" s="40"/>
      <c r="Q27" s="40"/>
      <c r="R27" s="40"/>
      <c r="S27" s="40"/>
      <c r="T27" s="40"/>
    </row>
    <row r="28" spans="1:22" hidden="1" x14ac:dyDescent="0.25">
      <c r="A28" s="9" t="s">
        <v>14</v>
      </c>
      <c r="B28" s="9" t="s">
        <v>15</v>
      </c>
      <c r="C28" s="9" t="s">
        <v>12</v>
      </c>
      <c r="D28">
        <v>31</v>
      </c>
      <c r="E28" s="8">
        <v>44511</v>
      </c>
      <c r="F28" s="7">
        <v>48950</v>
      </c>
      <c r="G28" t="s">
        <v>16</v>
      </c>
      <c r="H28" t="s">
        <v>218</v>
      </c>
      <c r="I28" s="13">
        <f ca="1">(TODAY()-staff[[#This Row],[Date Joined]])/365</f>
        <v>2.3424657534246576</v>
      </c>
      <c r="J28" s="48">
        <f ca="1">ROUNDUP(IF(staff[[#This Row],[Tenure]]&gt;2,3%,2%)*staff[[#This Row],[Salary]],0)</f>
        <v>1469</v>
      </c>
      <c r="K28" s="9">
        <f>_xlfn.XLOOKUP(staff[[#This Row],[Rating]],$P$34:$P$38,$O$34:$O$38)</f>
        <v>3</v>
      </c>
      <c r="L28" s="9"/>
      <c r="M28" s="48"/>
      <c r="N28" s="37" t="s">
        <v>243</v>
      </c>
      <c r="O28" s="38">
        <f>VLOOKUP(O16,staff[],6,FALSE)</f>
        <v>112780</v>
      </c>
    </row>
    <row r="29" spans="1:22" x14ac:dyDescent="0.25">
      <c r="A29" s="9" t="s">
        <v>113</v>
      </c>
      <c r="B29" s="9" t="s">
        <v>15</v>
      </c>
      <c r="C29" s="9" t="s">
        <v>12</v>
      </c>
      <c r="D29">
        <v>31</v>
      </c>
      <c r="E29" s="8">
        <v>44450</v>
      </c>
      <c r="F29" s="7">
        <v>48950</v>
      </c>
      <c r="G29" t="s">
        <v>16</v>
      </c>
      <c r="H29" t="s">
        <v>220</v>
      </c>
      <c r="I29" s="13">
        <f ca="1">(TODAY()-staff[[#This Row],[Date Joined]])/365</f>
        <v>2.5095890410958903</v>
      </c>
      <c r="J29" s="48">
        <f ca="1">ROUNDUP(IF(staff[[#This Row],[Tenure]]&gt;2,3%,2%)*staff[[#This Row],[Salary]],0)</f>
        <v>1469</v>
      </c>
      <c r="K29" s="9">
        <f>_xlfn.XLOOKUP(staff[[#This Row],[Rating]],$P$34:$P$38,$O$34:$O$38)</f>
        <v>3</v>
      </c>
      <c r="L29" s="9"/>
      <c r="M29" s="48"/>
    </row>
    <row r="30" spans="1:22" hidden="1" x14ac:dyDescent="0.25">
      <c r="A30" s="9" t="s">
        <v>53</v>
      </c>
      <c r="B30" s="9" t="s">
        <v>15</v>
      </c>
      <c r="C30" s="9" t="s">
        <v>21</v>
      </c>
      <c r="D30">
        <v>27</v>
      </c>
      <c r="E30" s="8">
        <v>44567</v>
      </c>
      <c r="F30" s="7">
        <v>48980</v>
      </c>
      <c r="G30" t="s">
        <v>16</v>
      </c>
      <c r="H30" t="s">
        <v>218</v>
      </c>
      <c r="I30" s="13">
        <f ca="1">(TODAY()-staff[[#This Row],[Date Joined]])/365</f>
        <v>2.1890410958904107</v>
      </c>
      <c r="J30" s="48">
        <f ca="1">ROUNDUP(IF(staff[[#This Row],[Tenure]]&gt;2,3%,2%)*staff[[#This Row],[Salary]],0)</f>
        <v>1470</v>
      </c>
      <c r="K30" s="9">
        <f>_xlfn.XLOOKUP(staff[[#This Row],[Rating]],$P$34:$P$38,$O$34:$O$38)</f>
        <v>3</v>
      </c>
      <c r="L30" s="9"/>
      <c r="M30" s="48"/>
    </row>
    <row r="31" spans="1:22" x14ac:dyDescent="0.25">
      <c r="A31" s="9" t="s">
        <v>146</v>
      </c>
      <c r="B31" s="9" t="s">
        <v>15</v>
      </c>
      <c r="C31" s="9" t="s">
        <v>21</v>
      </c>
      <c r="D31">
        <v>27</v>
      </c>
      <c r="E31" s="8">
        <v>44506</v>
      </c>
      <c r="F31" s="7">
        <v>48980</v>
      </c>
      <c r="G31" t="s">
        <v>16</v>
      </c>
      <c r="H31" t="s">
        <v>220</v>
      </c>
      <c r="I31" s="13">
        <f ca="1">(TODAY()-staff[[#This Row],[Date Joined]])/365</f>
        <v>2.3561643835616439</v>
      </c>
      <c r="J31" s="48">
        <f ca="1">ROUNDUP(IF(staff[[#This Row],[Tenure]]&gt;2,3%,2%)*staff[[#This Row],[Salary]],0)</f>
        <v>1470</v>
      </c>
      <c r="K31" s="9">
        <f>_xlfn.XLOOKUP(staff[[#This Row],[Rating]],$P$34:$P$38,$O$34:$O$38)</f>
        <v>3</v>
      </c>
      <c r="L31" s="9"/>
      <c r="M31" s="48"/>
      <c r="N31" t="s">
        <v>279</v>
      </c>
    </row>
    <row r="32" spans="1:22" hidden="1" x14ac:dyDescent="0.25">
      <c r="A32" s="9" t="s">
        <v>73</v>
      </c>
      <c r="B32" s="9" t="s">
        <v>8</v>
      </c>
      <c r="C32" s="9" t="s">
        <v>19</v>
      </c>
      <c r="D32">
        <v>34</v>
      </c>
      <c r="E32" s="8">
        <v>44721</v>
      </c>
      <c r="F32" s="7">
        <v>49630</v>
      </c>
      <c r="G32" t="s">
        <v>24</v>
      </c>
      <c r="H32" t="s">
        <v>218</v>
      </c>
      <c r="I32" s="13">
        <f ca="1">(TODAY()-staff[[#This Row],[Date Joined]])/365</f>
        <v>1.7671232876712328</v>
      </c>
      <c r="J32" s="48">
        <f ca="1">ROUNDUP(IF(staff[[#This Row],[Tenure]]&gt;2,3%,2%)*staff[[#This Row],[Salary]],0)</f>
        <v>993</v>
      </c>
      <c r="K32" s="9">
        <f>_xlfn.XLOOKUP(staff[[#This Row],[Rating]],$P$34:$P$38,$O$34:$O$38)</f>
        <v>2</v>
      </c>
      <c r="L32" s="9"/>
      <c r="M32" s="48"/>
    </row>
    <row r="33" spans="1:22" x14ac:dyDescent="0.25">
      <c r="A33" s="9" t="s">
        <v>165</v>
      </c>
      <c r="B33" s="9" t="s">
        <v>8</v>
      </c>
      <c r="C33" s="9" t="s">
        <v>19</v>
      </c>
      <c r="D33">
        <v>34</v>
      </c>
      <c r="E33" s="8">
        <v>44660</v>
      </c>
      <c r="F33" s="7">
        <v>49630</v>
      </c>
      <c r="G33" t="s">
        <v>24</v>
      </c>
      <c r="H33" t="s">
        <v>220</v>
      </c>
      <c r="I33" s="13">
        <f ca="1">(TODAY()-staff[[#This Row],[Date Joined]])/365</f>
        <v>1.9342465753424658</v>
      </c>
      <c r="J33" s="48">
        <f ca="1">ROUNDUP(IF(staff[[#This Row],[Tenure]]&gt;2,3%,2%)*staff[[#This Row],[Salary]],0)</f>
        <v>993</v>
      </c>
      <c r="K33" s="9">
        <f>_xlfn.XLOOKUP(staff[[#This Row],[Rating]],$P$34:$P$38,$O$34:$O$38)</f>
        <v>2</v>
      </c>
      <c r="L33" s="9"/>
      <c r="M33" s="48"/>
      <c r="N33" s="50" t="s">
        <v>282</v>
      </c>
      <c r="O33" s="50"/>
      <c r="P33" s="50"/>
    </row>
    <row r="34" spans="1:22" hidden="1" x14ac:dyDescent="0.25">
      <c r="A34" s="9" t="s">
        <v>63</v>
      </c>
      <c r="B34" s="9" t="s">
        <v>15</v>
      </c>
      <c r="C34" s="9" t="s">
        <v>21</v>
      </c>
      <c r="D34">
        <v>24</v>
      </c>
      <c r="E34" s="8">
        <v>44436</v>
      </c>
      <c r="F34" s="7">
        <v>52610</v>
      </c>
      <c r="G34" t="s">
        <v>24</v>
      </c>
      <c r="H34" t="s">
        <v>218</v>
      </c>
      <c r="I34" s="13">
        <f ca="1">(TODAY()-staff[[#This Row],[Date Joined]])/365</f>
        <v>2.547945205479452</v>
      </c>
      <c r="J34" s="48">
        <f ca="1">ROUNDUP(IF(staff[[#This Row],[Tenure]]&gt;2,3%,2%)*staff[[#This Row],[Salary]],0)</f>
        <v>1579</v>
      </c>
      <c r="K34" s="9">
        <f>_xlfn.XLOOKUP(staff[[#This Row],[Rating]],$P$34:$P$38,$O$34:$O$38)</f>
        <v>2</v>
      </c>
      <c r="L34" s="9"/>
      <c r="M34" s="48"/>
      <c r="N34" t="str" cm="1">
        <f t="array" ref="N34:N38">_xlfn.UNIQUE(staff[Rating])</f>
        <v>Average</v>
      </c>
      <c r="O34">
        <v>3</v>
      </c>
      <c r="P34" t="s">
        <v>16</v>
      </c>
    </row>
    <row r="35" spans="1:22" x14ac:dyDescent="0.25">
      <c r="A35" s="9" t="s">
        <v>155</v>
      </c>
      <c r="B35" s="9" t="s">
        <v>15</v>
      </c>
      <c r="C35" s="9" t="s">
        <v>21</v>
      </c>
      <c r="D35">
        <v>24</v>
      </c>
      <c r="E35" s="8">
        <v>44375</v>
      </c>
      <c r="F35" s="7">
        <v>52610</v>
      </c>
      <c r="G35" t="s">
        <v>24</v>
      </c>
      <c r="H35" t="s">
        <v>220</v>
      </c>
      <c r="I35" s="13">
        <f ca="1">(TODAY()-staff[[#This Row],[Date Joined]])/365</f>
        <v>2.7150684931506848</v>
      </c>
      <c r="J35" s="48">
        <f ca="1">ROUNDUP(IF(staff[[#This Row],[Tenure]]&gt;2,3%,2%)*staff[[#This Row],[Salary]],0)</f>
        <v>1579</v>
      </c>
      <c r="K35" s="9">
        <f>_xlfn.XLOOKUP(staff[[#This Row],[Rating]],$P$34:$P$38,$O$34:$O$38)</f>
        <v>2</v>
      </c>
      <c r="L35" s="9"/>
      <c r="M35" s="48"/>
      <c r="N35" t="str">
        <v>Very poor</v>
      </c>
      <c r="O35">
        <v>1</v>
      </c>
      <c r="P35" t="s">
        <v>42</v>
      </c>
    </row>
    <row r="36" spans="1:22" hidden="1" x14ac:dyDescent="0.25">
      <c r="A36" s="9" t="s">
        <v>75</v>
      </c>
      <c r="B36" s="9" t="s">
        <v>8</v>
      </c>
      <c r="C36" s="9" t="s">
        <v>19</v>
      </c>
      <c r="D36">
        <v>28</v>
      </c>
      <c r="E36" s="8">
        <v>44357</v>
      </c>
      <c r="F36" s="7">
        <v>53240</v>
      </c>
      <c r="G36" t="s">
        <v>16</v>
      </c>
      <c r="H36" t="s">
        <v>218</v>
      </c>
      <c r="I36" s="13">
        <f ca="1">(TODAY()-staff[[#This Row],[Date Joined]])/365</f>
        <v>2.7643835616438355</v>
      </c>
      <c r="J36" s="48">
        <f ca="1">ROUNDUP(IF(staff[[#This Row],[Tenure]]&gt;2,3%,2%)*staff[[#This Row],[Salary]],0)</f>
        <v>1598</v>
      </c>
      <c r="K36" s="9">
        <f>_xlfn.XLOOKUP(staff[[#This Row],[Rating]],$P$34:$P$38,$O$34:$O$38)</f>
        <v>3</v>
      </c>
      <c r="L36" s="9"/>
      <c r="M36" s="48"/>
      <c r="N36" t="str">
        <v>Above average</v>
      </c>
      <c r="O36">
        <v>4</v>
      </c>
      <c r="P36" t="s">
        <v>13</v>
      </c>
    </row>
    <row r="37" spans="1:22" x14ac:dyDescent="0.25">
      <c r="A37" s="9" t="s">
        <v>167</v>
      </c>
      <c r="B37" s="9" t="s">
        <v>8</v>
      </c>
      <c r="C37" s="9" t="s">
        <v>19</v>
      </c>
      <c r="D37">
        <v>28</v>
      </c>
      <c r="E37" s="8">
        <v>44296</v>
      </c>
      <c r="F37" s="7">
        <v>53240</v>
      </c>
      <c r="G37" t="s">
        <v>16</v>
      </c>
      <c r="H37" t="s">
        <v>220</v>
      </c>
      <c r="I37" s="13">
        <f ca="1">(TODAY()-staff[[#This Row],[Date Joined]])/365</f>
        <v>2.9315068493150687</v>
      </c>
      <c r="J37" s="48">
        <f ca="1">ROUNDUP(IF(staff[[#This Row],[Tenure]]&gt;2,3%,2%)*staff[[#This Row],[Salary]],0)</f>
        <v>1598</v>
      </c>
      <c r="K37" s="9">
        <f>_xlfn.XLOOKUP(staff[[#This Row],[Rating]],$P$34:$P$38,$O$34:$O$38)</f>
        <v>3</v>
      </c>
      <c r="L37" s="9"/>
      <c r="M37" s="48"/>
      <c r="N37" t="str">
        <v>Poor</v>
      </c>
      <c r="O37">
        <v>2</v>
      </c>
      <c r="P37" t="s">
        <v>24</v>
      </c>
    </row>
    <row r="38" spans="1:22" hidden="1" x14ac:dyDescent="0.25">
      <c r="A38" s="9" t="s">
        <v>65</v>
      </c>
      <c r="B38" s="9" t="s">
        <v>15</v>
      </c>
      <c r="C38" s="9" t="s">
        <v>19</v>
      </c>
      <c r="D38">
        <v>32</v>
      </c>
      <c r="E38" s="8">
        <v>44465</v>
      </c>
      <c r="F38" s="7">
        <v>53540</v>
      </c>
      <c r="G38" t="s">
        <v>16</v>
      </c>
      <c r="H38" t="s">
        <v>218</v>
      </c>
      <c r="I38" s="13">
        <f ca="1">(TODAY()-staff[[#This Row],[Date Joined]])/365</f>
        <v>2.4684931506849317</v>
      </c>
      <c r="J38" s="48">
        <f ca="1">ROUNDUP(IF(staff[[#This Row],[Tenure]]&gt;2,3%,2%)*staff[[#This Row],[Salary]],0)</f>
        <v>1607</v>
      </c>
      <c r="K38" s="9">
        <f>_xlfn.XLOOKUP(staff[[#This Row],[Rating]],$P$34:$P$38,$O$34:$O$38)</f>
        <v>3</v>
      </c>
      <c r="L38" s="9"/>
      <c r="M38" s="48"/>
      <c r="N38" t="str">
        <v>Exceptional</v>
      </c>
      <c r="O38">
        <v>5</v>
      </c>
      <c r="P38" t="s">
        <v>10</v>
      </c>
    </row>
    <row r="39" spans="1:22" hidden="1" x14ac:dyDescent="0.25">
      <c r="A39" s="9" t="s">
        <v>46</v>
      </c>
      <c r="B39" s="9" t="s">
        <v>15</v>
      </c>
      <c r="C39" s="9" t="s">
        <v>9</v>
      </c>
      <c r="D39">
        <v>26</v>
      </c>
      <c r="E39" s="8">
        <v>44411</v>
      </c>
      <c r="F39" s="7">
        <v>53540</v>
      </c>
      <c r="G39" t="s">
        <v>16</v>
      </c>
      <c r="H39" t="s">
        <v>218</v>
      </c>
      <c r="I39" s="13">
        <f ca="1">(TODAY()-staff[[#This Row],[Date Joined]])/365</f>
        <v>2.6164383561643834</v>
      </c>
      <c r="J39" s="48">
        <f ca="1">ROUNDUP(IF(staff[[#This Row],[Tenure]]&gt;2,3%,2%)*staff[[#This Row],[Salary]],0)</f>
        <v>1607</v>
      </c>
      <c r="K39" s="9">
        <f>_xlfn.XLOOKUP(staff[[#This Row],[Rating]],$P$34:$P$38,$O$34:$O$38)</f>
        <v>3</v>
      </c>
      <c r="L39" s="9"/>
      <c r="M39" s="48"/>
    </row>
    <row r="40" spans="1:22" x14ac:dyDescent="0.25">
      <c r="A40" s="9" t="s">
        <v>157</v>
      </c>
      <c r="B40" s="9" t="s">
        <v>15</v>
      </c>
      <c r="C40" s="9" t="s">
        <v>19</v>
      </c>
      <c r="D40">
        <v>32</v>
      </c>
      <c r="E40" s="8">
        <v>44403</v>
      </c>
      <c r="F40" s="7">
        <v>53540</v>
      </c>
      <c r="G40" t="s">
        <v>16</v>
      </c>
      <c r="H40" t="s">
        <v>220</v>
      </c>
      <c r="I40" s="13">
        <f ca="1">(TODAY()-staff[[#This Row],[Date Joined]])/365</f>
        <v>2.6383561643835618</v>
      </c>
      <c r="J40" s="48">
        <f ca="1">ROUNDUP(IF(staff[[#This Row],[Tenure]]&gt;2,3%,2%)*staff[[#This Row],[Salary]],0)</f>
        <v>1607</v>
      </c>
      <c r="K40" s="9">
        <f>_xlfn.XLOOKUP(staff[[#This Row],[Rating]],$P$34:$P$38,$O$34:$O$38)</f>
        <v>3</v>
      </c>
      <c r="L40" s="9"/>
      <c r="M40" s="48" t="s">
        <v>291</v>
      </c>
      <c r="Q40" t="s">
        <v>286</v>
      </c>
      <c r="R40" t="s">
        <v>287</v>
      </c>
      <c r="T40" t="s">
        <v>288</v>
      </c>
      <c r="U40" t="s">
        <v>289</v>
      </c>
      <c r="V40" t="s">
        <v>290</v>
      </c>
    </row>
    <row r="41" spans="1:22" x14ac:dyDescent="0.25">
      <c r="A41" s="9" t="s">
        <v>139</v>
      </c>
      <c r="B41" s="9" t="s">
        <v>15</v>
      </c>
      <c r="C41" s="9" t="s">
        <v>9</v>
      </c>
      <c r="D41">
        <v>26</v>
      </c>
      <c r="E41" s="8">
        <v>44350</v>
      </c>
      <c r="F41" s="7">
        <v>53540</v>
      </c>
      <c r="G41" t="s">
        <v>16</v>
      </c>
      <c r="H41" t="s">
        <v>220</v>
      </c>
      <c r="I41" s="13">
        <f ca="1">(TODAY()-staff[[#This Row],[Date Joined]])/365</f>
        <v>2.7835616438356166</v>
      </c>
      <c r="J41" s="48">
        <f ca="1">ROUNDUP(IF(staff[[#This Row],[Tenure]]&gt;2,3%,2%)*staff[[#This Row],[Salary]],0)</f>
        <v>1607</v>
      </c>
      <c r="K41" s="9">
        <f>_xlfn.XLOOKUP(staff[[#This Row],[Rating]],$P$34:$P$38,$O$34:$O$38)</f>
        <v>3</v>
      </c>
      <c r="L41" s="9"/>
      <c r="M41" s="8">
        <f>MIN(staff[Date Joined])</f>
        <v>43962</v>
      </c>
      <c r="N41" s="13" t="str" cm="1">
        <f t="array" ref="N41:N72">_xlfn.UNIQUE(YEAR(staff[Date Joined]) &amp; "-" &amp; MONTH(staff[Date Joined]))</f>
        <v>2022-4</v>
      </c>
      <c r="O41" s="9">
        <v>2020</v>
      </c>
      <c r="P41">
        <v>7</v>
      </c>
      <c r="Q41" t="str">
        <f>O41&amp;"-"&amp;P41</f>
        <v>2020-7</v>
      </c>
      <c r="R41" cm="1">
        <f t="array" ref="R41">COUNTA(_xlfn.UNIQUE(YEAR(staff[Date Joined]) &amp; "-" &amp; MONTH(staff[Date Joined])))</f>
        <v>32</v>
      </c>
      <c r="S41" cm="1">
        <f t="array" ref="S41:S72">_xlfn.SEQUENCE(R41)</f>
        <v>1</v>
      </c>
      <c r="T41" s="8" cm="1">
        <f t="array" ref="T41:T72">EDATE(DATE(2020,5,7),_xlfn.ANCHORARRAY(S41)+0)</f>
        <v>43989</v>
      </c>
    </row>
    <row r="42" spans="1:22" hidden="1" x14ac:dyDescent="0.25">
      <c r="A42" s="9" t="s">
        <v>82</v>
      </c>
      <c r="B42" s="9" t="s">
        <v>15</v>
      </c>
      <c r="C42" s="9" t="s">
        <v>12</v>
      </c>
      <c r="D42">
        <v>33</v>
      </c>
      <c r="E42" s="8">
        <v>44509</v>
      </c>
      <c r="F42" s="7">
        <v>53870</v>
      </c>
      <c r="G42" t="s">
        <v>16</v>
      </c>
      <c r="H42" t="s">
        <v>218</v>
      </c>
      <c r="I42" s="13">
        <f ca="1">(TODAY()-staff[[#This Row],[Date Joined]])/365</f>
        <v>2.3479452054794518</v>
      </c>
      <c r="J42" s="48">
        <f ca="1">ROUNDUP(IF(staff[[#This Row],[Tenure]]&gt;2,3%,2%)*staff[[#This Row],[Salary]],0)</f>
        <v>1617</v>
      </c>
      <c r="K42" s="9">
        <f>_xlfn.XLOOKUP(staff[[#This Row],[Rating]],$P$34:$P$38,$O$34:$O$38)</f>
        <v>3</v>
      </c>
      <c r="L42" s="9"/>
      <c r="M42" s="48" t="s">
        <v>292</v>
      </c>
      <c r="N42" s="13" t="str">
        <v>2022-2</v>
      </c>
      <c r="O42" s="9">
        <v>2020</v>
      </c>
      <c r="P42">
        <v>5</v>
      </c>
      <c r="Q42" t="str">
        <f t="shared" ref="Q42:Q72" si="0">O42&amp;"-"&amp;P42</f>
        <v>2020-5</v>
      </c>
      <c r="S42">
        <v>2</v>
      </c>
      <c r="T42" s="8">
        <v>44019</v>
      </c>
    </row>
    <row r="43" spans="1:22" x14ac:dyDescent="0.25">
      <c r="A43" s="9" t="s">
        <v>174</v>
      </c>
      <c r="B43" s="9" t="s">
        <v>15</v>
      </c>
      <c r="C43" s="9" t="s">
        <v>12</v>
      </c>
      <c r="D43">
        <v>33</v>
      </c>
      <c r="E43" s="8">
        <v>44448</v>
      </c>
      <c r="F43" s="7">
        <v>53870</v>
      </c>
      <c r="G43" t="s">
        <v>16</v>
      </c>
      <c r="H43" t="s">
        <v>220</v>
      </c>
      <c r="I43" s="13">
        <f ca="1">(TODAY()-staff[[#This Row],[Date Joined]])/365</f>
        <v>2.515068493150685</v>
      </c>
      <c r="J43" s="48">
        <f ca="1">ROUNDUP(IF(staff[[#This Row],[Tenure]]&gt;2,3%,2%)*staff[[#This Row],[Salary]],0)</f>
        <v>1617</v>
      </c>
      <c r="K43" s="9">
        <f>_xlfn.XLOOKUP(staff[[#This Row],[Rating]],$P$34:$P$38,$O$34:$O$38)</f>
        <v>3</v>
      </c>
      <c r="L43" s="9"/>
      <c r="M43" s="8">
        <f>MAX(staff[Date Joined])</f>
        <v>45045</v>
      </c>
      <c r="N43" s="13" t="str">
        <v>2020-7</v>
      </c>
      <c r="O43" s="9">
        <v>2020</v>
      </c>
      <c r="P43">
        <v>9</v>
      </c>
      <c r="Q43" t="str">
        <f t="shared" si="0"/>
        <v>2020-9</v>
      </c>
      <c r="S43">
        <v>3</v>
      </c>
      <c r="T43" s="8">
        <v>44050</v>
      </c>
    </row>
    <row r="44" spans="1:22" hidden="1" x14ac:dyDescent="0.25">
      <c r="A44" s="9" t="s">
        <v>89</v>
      </c>
      <c r="B44" s="9" t="s">
        <v>15</v>
      </c>
      <c r="C44" s="9" t="s">
        <v>19</v>
      </c>
      <c r="D44">
        <v>27</v>
      </c>
      <c r="E44" s="8">
        <v>44134</v>
      </c>
      <c r="F44" s="7">
        <v>54970</v>
      </c>
      <c r="G44" t="s">
        <v>16</v>
      </c>
      <c r="H44" t="s">
        <v>218</v>
      </c>
      <c r="I44" s="13">
        <f ca="1">(TODAY()-staff[[#This Row],[Date Joined]])/365</f>
        <v>3.3753424657534246</v>
      </c>
      <c r="J44" s="48">
        <f ca="1">ROUNDUP(IF(staff[[#This Row],[Tenure]]&gt;2,3%,2%)*staff[[#This Row],[Salary]],0)</f>
        <v>1650</v>
      </c>
      <c r="K44" s="9">
        <f>_xlfn.XLOOKUP(staff[[#This Row],[Rating]],$P$34:$P$38,$O$34:$O$38)</f>
        <v>3</v>
      </c>
      <c r="L44" s="9"/>
      <c r="M44" s="48"/>
      <c r="N44" s="13" t="str">
        <v>2020-5</v>
      </c>
      <c r="O44" s="9">
        <v>2020</v>
      </c>
      <c r="P44">
        <v>11</v>
      </c>
      <c r="Q44" t="str">
        <f t="shared" si="0"/>
        <v>2020-11</v>
      </c>
      <c r="S44">
        <v>4</v>
      </c>
      <c r="T44" s="8">
        <v>44081</v>
      </c>
    </row>
    <row r="45" spans="1:22" x14ac:dyDescent="0.25">
      <c r="A45" s="9" t="s">
        <v>182</v>
      </c>
      <c r="B45" s="9" t="s">
        <v>15</v>
      </c>
      <c r="C45" s="9" t="s">
        <v>19</v>
      </c>
      <c r="D45">
        <v>27</v>
      </c>
      <c r="E45" s="8">
        <v>44073</v>
      </c>
      <c r="F45" s="7">
        <v>54970</v>
      </c>
      <c r="G45" t="s">
        <v>16</v>
      </c>
      <c r="H45" t="s">
        <v>220</v>
      </c>
      <c r="I45" s="13">
        <f ca="1">(TODAY()-staff[[#This Row],[Date Joined]])/365</f>
        <v>3.5424657534246577</v>
      </c>
      <c r="J45" s="48">
        <f ca="1">ROUNDUP(IF(staff[[#This Row],[Tenure]]&gt;2,3%,2%)*staff[[#This Row],[Salary]],0)</f>
        <v>1650</v>
      </c>
      <c r="K45" s="9">
        <f>_xlfn.XLOOKUP(staff[[#This Row],[Rating]],$P$34:$P$38,$O$34:$O$38)</f>
        <v>3</v>
      </c>
      <c r="L45" s="9"/>
      <c r="M45" s="48"/>
      <c r="N45" s="13" t="str">
        <v>2021-12</v>
      </c>
      <c r="O45" s="9">
        <v>2020</v>
      </c>
      <c r="P45">
        <v>10</v>
      </c>
      <c r="Q45" t="str">
        <f t="shared" si="0"/>
        <v>2020-10</v>
      </c>
      <c r="S45">
        <v>5</v>
      </c>
      <c r="T45" s="8">
        <v>44111</v>
      </c>
    </row>
    <row r="46" spans="1:22" hidden="1" x14ac:dyDescent="0.25">
      <c r="A46" s="9" t="s">
        <v>109</v>
      </c>
      <c r="B46" s="9" t="s">
        <v>8</v>
      </c>
      <c r="C46" s="9" t="s">
        <v>19</v>
      </c>
      <c r="D46">
        <v>38</v>
      </c>
      <c r="E46" s="8">
        <v>44329</v>
      </c>
      <c r="F46" s="7">
        <v>56870</v>
      </c>
      <c r="G46" t="s">
        <v>13</v>
      </c>
      <c r="H46" t="s">
        <v>218</v>
      </c>
      <c r="I46" s="13">
        <f ca="1">(TODAY()-staff[[#This Row],[Date Joined]])/365</f>
        <v>2.8410958904109589</v>
      </c>
      <c r="J46" s="48">
        <f ca="1">ROUNDUP(IF(staff[[#This Row],[Tenure]]&gt;2,3%,2%)*staff[[#This Row],[Salary]],0)</f>
        <v>1707</v>
      </c>
      <c r="K46" s="9">
        <f>_xlfn.XLOOKUP(staff[[#This Row],[Rating]],$P$34:$P$38,$O$34:$O$38)</f>
        <v>4</v>
      </c>
      <c r="L46" s="9"/>
      <c r="M46" s="48"/>
      <c r="N46" s="13" t="str">
        <v>2020-9</v>
      </c>
      <c r="O46" s="9">
        <v>2020</v>
      </c>
      <c r="P46">
        <v>8</v>
      </c>
      <c r="Q46" t="str">
        <f t="shared" si="0"/>
        <v>2020-8</v>
      </c>
      <c r="S46">
        <v>6</v>
      </c>
      <c r="T46" s="8">
        <v>44142</v>
      </c>
    </row>
    <row r="47" spans="1:22" x14ac:dyDescent="0.25">
      <c r="A47" s="9" t="s">
        <v>202</v>
      </c>
      <c r="B47" s="9" t="s">
        <v>8</v>
      </c>
      <c r="C47" s="9" t="s">
        <v>19</v>
      </c>
      <c r="D47">
        <v>38</v>
      </c>
      <c r="E47" s="8">
        <v>44268</v>
      </c>
      <c r="F47" s="7">
        <v>56870</v>
      </c>
      <c r="G47" t="s">
        <v>13</v>
      </c>
      <c r="H47" t="s">
        <v>220</v>
      </c>
      <c r="I47" s="13">
        <f ca="1">(TODAY()-staff[[#This Row],[Date Joined]])/365</f>
        <v>3.0082191780821916</v>
      </c>
      <c r="J47" s="48">
        <f ca="1">ROUNDUP(IF(staff[[#This Row],[Tenure]]&gt;2,3%,2%)*staff[[#This Row],[Salary]],0)</f>
        <v>1707</v>
      </c>
      <c r="K47" s="9">
        <f>_xlfn.XLOOKUP(staff[[#This Row],[Rating]],$P$34:$P$38,$O$34:$O$38)</f>
        <v>4</v>
      </c>
      <c r="L47" s="9"/>
      <c r="M47" s="48"/>
      <c r="N47" s="13" t="str">
        <v>2022-6</v>
      </c>
      <c r="O47" s="9">
        <v>2020</v>
      </c>
      <c r="P47">
        <v>12</v>
      </c>
      <c r="Q47" t="str">
        <f t="shared" si="0"/>
        <v>2020-12</v>
      </c>
      <c r="S47">
        <v>7</v>
      </c>
      <c r="T47" s="8">
        <v>44172</v>
      </c>
    </row>
    <row r="48" spans="1:22" hidden="1" x14ac:dyDescent="0.25">
      <c r="A48" s="9" t="s">
        <v>31</v>
      </c>
      <c r="B48" s="9" t="s">
        <v>15</v>
      </c>
      <c r="C48" s="9" t="s">
        <v>9</v>
      </c>
      <c r="D48">
        <v>21</v>
      </c>
      <c r="E48" s="8">
        <v>44762</v>
      </c>
      <c r="F48" s="7">
        <v>57090</v>
      </c>
      <c r="G48" t="s">
        <v>16</v>
      </c>
      <c r="H48" t="s">
        <v>218</v>
      </c>
      <c r="I48" s="13">
        <f ca="1">(TODAY()-staff[[#This Row],[Date Joined]])/365</f>
        <v>1.6547945205479453</v>
      </c>
      <c r="J48" s="48">
        <f ca="1">ROUNDUP(IF(staff[[#This Row],[Tenure]]&gt;2,3%,2%)*staff[[#This Row],[Salary]],0)</f>
        <v>1142</v>
      </c>
      <c r="K48" s="9">
        <f>_xlfn.XLOOKUP(staff[[#This Row],[Rating]],$P$34:$P$38,$O$34:$O$38)</f>
        <v>3</v>
      </c>
      <c r="L48" s="9"/>
      <c r="M48" s="48"/>
      <c r="N48" s="13" t="str">
        <v>2020-11</v>
      </c>
      <c r="O48" s="9">
        <v>2020</v>
      </c>
      <c r="P48">
        <v>6</v>
      </c>
      <c r="Q48" t="str">
        <f t="shared" si="0"/>
        <v>2020-6</v>
      </c>
      <c r="S48">
        <v>8</v>
      </c>
      <c r="T48" s="8">
        <v>44203</v>
      </c>
    </row>
    <row r="49" spans="1:20" x14ac:dyDescent="0.25">
      <c r="A49" s="9" t="s">
        <v>125</v>
      </c>
      <c r="B49" s="9" t="s">
        <v>15</v>
      </c>
      <c r="C49" s="9" t="s">
        <v>9</v>
      </c>
      <c r="D49">
        <v>21</v>
      </c>
      <c r="E49" s="8">
        <v>44701</v>
      </c>
      <c r="F49" s="7">
        <v>57090</v>
      </c>
      <c r="G49" t="s">
        <v>16</v>
      </c>
      <c r="H49" t="s">
        <v>220</v>
      </c>
      <c r="I49" s="13">
        <f ca="1">(TODAY()-staff[[#This Row],[Date Joined]])/365</f>
        <v>1.821917808219178</v>
      </c>
      <c r="J49" s="48">
        <f ca="1">ROUNDUP(IF(staff[[#This Row],[Tenure]]&gt;2,3%,2%)*staff[[#This Row],[Salary]],0)</f>
        <v>1142</v>
      </c>
      <c r="K49" s="9">
        <f>_xlfn.XLOOKUP(staff[[#This Row],[Rating]],$P$34:$P$38,$O$34:$O$38)</f>
        <v>3</v>
      </c>
      <c r="L49" s="9"/>
      <c r="M49" s="48"/>
      <c r="N49" s="13" t="str">
        <v>2022-9</v>
      </c>
      <c r="O49" s="9">
        <v>2021</v>
      </c>
      <c r="P49">
        <v>12</v>
      </c>
      <c r="Q49" t="str">
        <f t="shared" si="0"/>
        <v>2021-12</v>
      </c>
      <c r="S49">
        <v>9</v>
      </c>
      <c r="T49" s="8">
        <v>44234</v>
      </c>
    </row>
    <row r="50" spans="1:20" hidden="1" x14ac:dyDescent="0.25">
      <c r="A50" s="9" t="s">
        <v>26</v>
      </c>
      <c r="B50" s="9" t="s">
        <v>8</v>
      </c>
      <c r="C50" s="9" t="s">
        <v>12</v>
      </c>
      <c r="D50">
        <v>31</v>
      </c>
      <c r="E50" s="8">
        <v>44663</v>
      </c>
      <c r="F50" s="7">
        <v>58100</v>
      </c>
      <c r="G50" t="s">
        <v>16</v>
      </c>
      <c r="H50" t="s">
        <v>218</v>
      </c>
      <c r="I50" s="13">
        <f ca="1">(TODAY()-staff[[#This Row],[Date Joined]])/365</f>
        <v>1.9260273972602739</v>
      </c>
      <c r="J50" s="48">
        <f ca="1">ROUNDUP(IF(staff[[#This Row],[Tenure]]&gt;2,3%,2%)*staff[[#This Row],[Salary]],0)</f>
        <v>1162</v>
      </c>
      <c r="K50" s="9">
        <f>_xlfn.XLOOKUP(staff[[#This Row],[Rating]],$P$34:$P$38,$O$34:$O$38)</f>
        <v>3</v>
      </c>
      <c r="L50" s="9"/>
      <c r="M50" s="48"/>
      <c r="N50" s="13" t="str">
        <v>2022-7</v>
      </c>
      <c r="O50" s="9">
        <v>2021</v>
      </c>
      <c r="P50">
        <v>6</v>
      </c>
      <c r="Q50" t="str">
        <f t="shared" si="0"/>
        <v>2021-6</v>
      </c>
      <c r="S50">
        <v>10</v>
      </c>
      <c r="T50" s="8">
        <v>44262</v>
      </c>
    </row>
    <row r="51" spans="1:20" x14ac:dyDescent="0.25">
      <c r="A51" s="9" t="s">
        <v>120</v>
      </c>
      <c r="B51" s="9" t="s">
        <v>8</v>
      </c>
      <c r="C51" s="9" t="s">
        <v>12</v>
      </c>
      <c r="D51">
        <v>31</v>
      </c>
      <c r="E51" s="8">
        <v>44604</v>
      </c>
      <c r="F51" s="7">
        <v>58100</v>
      </c>
      <c r="G51" t="s">
        <v>16</v>
      </c>
      <c r="H51" t="s">
        <v>220</v>
      </c>
      <c r="I51" s="13">
        <f ca="1">(TODAY()-staff[[#This Row],[Date Joined]])/365</f>
        <v>2.0876712328767124</v>
      </c>
      <c r="J51" s="48">
        <f ca="1">ROUNDUP(IF(staff[[#This Row],[Tenure]]&gt;2,3%,2%)*staff[[#This Row],[Salary]],0)</f>
        <v>1743</v>
      </c>
      <c r="K51" s="9">
        <f>_xlfn.XLOOKUP(staff[[#This Row],[Rating]],$P$34:$P$38,$O$34:$O$38)</f>
        <v>3</v>
      </c>
      <c r="L51" s="9"/>
      <c r="M51" s="48"/>
      <c r="N51" s="13" t="str">
        <v>2021-6</v>
      </c>
      <c r="O51" s="9">
        <v>2021</v>
      </c>
      <c r="P51">
        <v>4</v>
      </c>
      <c r="Q51" t="str">
        <f t="shared" si="0"/>
        <v>2021-4</v>
      </c>
      <c r="S51">
        <v>11</v>
      </c>
      <c r="T51" s="8">
        <v>44293</v>
      </c>
    </row>
    <row r="52" spans="1:20" hidden="1" x14ac:dyDescent="0.25">
      <c r="A52" s="9" t="s">
        <v>36</v>
      </c>
      <c r="B52" s="9" t="s">
        <v>8</v>
      </c>
      <c r="C52" s="9" t="s">
        <v>21</v>
      </c>
      <c r="D52">
        <v>34</v>
      </c>
      <c r="E52" s="8">
        <v>44653</v>
      </c>
      <c r="F52" s="7">
        <v>58940</v>
      </c>
      <c r="G52" t="s">
        <v>16</v>
      </c>
      <c r="H52" t="s">
        <v>218</v>
      </c>
      <c r="I52" s="13">
        <f ca="1">(TODAY()-staff[[#This Row],[Date Joined]])/365</f>
        <v>1.9534246575342467</v>
      </c>
      <c r="J52" s="48">
        <f ca="1">ROUNDUP(IF(staff[[#This Row],[Tenure]]&gt;2,3%,2%)*staff[[#This Row],[Salary]],0)</f>
        <v>1179</v>
      </c>
      <c r="K52" s="9">
        <f>_xlfn.XLOOKUP(staff[[#This Row],[Rating]],$P$34:$P$38,$O$34:$O$38)</f>
        <v>3</v>
      </c>
      <c r="L52" s="9"/>
      <c r="M52" s="48"/>
      <c r="N52" s="13" t="str">
        <v>2021-4</v>
      </c>
      <c r="O52" s="9">
        <v>2021</v>
      </c>
      <c r="P52">
        <v>7</v>
      </c>
      <c r="Q52" t="str">
        <f t="shared" si="0"/>
        <v>2021-7</v>
      </c>
      <c r="S52">
        <v>12</v>
      </c>
      <c r="T52" s="8">
        <v>44323</v>
      </c>
    </row>
    <row r="53" spans="1:20" x14ac:dyDescent="0.25">
      <c r="A53" s="9" t="s">
        <v>130</v>
      </c>
      <c r="B53" s="9" t="s">
        <v>8</v>
      </c>
      <c r="C53" s="9" t="s">
        <v>21</v>
      </c>
      <c r="D53">
        <v>34</v>
      </c>
      <c r="E53" s="8">
        <v>44594</v>
      </c>
      <c r="F53" s="7">
        <v>58940</v>
      </c>
      <c r="G53" t="s">
        <v>16</v>
      </c>
      <c r="H53" t="s">
        <v>220</v>
      </c>
      <c r="I53" s="13">
        <f ca="1">(TODAY()-staff[[#This Row],[Date Joined]])/365</f>
        <v>2.1150684931506851</v>
      </c>
      <c r="J53" s="48">
        <f ca="1">ROUNDUP(IF(staff[[#This Row],[Tenure]]&gt;2,3%,2%)*staff[[#This Row],[Salary]],0)</f>
        <v>1769</v>
      </c>
      <c r="K53" s="9">
        <f>_xlfn.XLOOKUP(staff[[#This Row],[Rating]],$P$34:$P$38,$O$34:$O$38)</f>
        <v>3</v>
      </c>
      <c r="L53" s="9"/>
      <c r="M53" s="48"/>
      <c r="N53" s="13" t="str">
        <v>2021-7</v>
      </c>
      <c r="O53" s="9">
        <v>2021</v>
      </c>
      <c r="P53">
        <v>5</v>
      </c>
      <c r="Q53" t="str">
        <f t="shared" si="0"/>
        <v>2021-5</v>
      </c>
      <c r="S53">
        <v>13</v>
      </c>
      <c r="T53" s="8">
        <v>44354</v>
      </c>
    </row>
    <row r="54" spans="1:20" hidden="1" x14ac:dyDescent="0.25">
      <c r="A54" s="9" t="s">
        <v>100</v>
      </c>
      <c r="B54" s="9" t="s">
        <v>15</v>
      </c>
      <c r="C54" s="9" t="s">
        <v>9</v>
      </c>
      <c r="D54">
        <v>19</v>
      </c>
      <c r="E54" s="8">
        <v>44277</v>
      </c>
      <c r="F54" s="7">
        <v>58960</v>
      </c>
      <c r="G54" t="s">
        <v>16</v>
      </c>
      <c r="H54" t="s">
        <v>218</v>
      </c>
      <c r="I54" s="13">
        <f ca="1">(TODAY()-staff[[#This Row],[Date Joined]])/365</f>
        <v>2.9835616438356163</v>
      </c>
      <c r="J54" s="48">
        <f ca="1">ROUNDUP(IF(staff[[#This Row],[Tenure]]&gt;2,3%,2%)*staff[[#This Row],[Salary]],0)</f>
        <v>1769</v>
      </c>
      <c r="K54" s="9">
        <f>_xlfn.XLOOKUP(staff[[#This Row],[Rating]],$P$34:$P$38,$O$34:$O$38)</f>
        <v>3</v>
      </c>
      <c r="L54" s="9"/>
      <c r="M54" s="48"/>
      <c r="N54" s="13" t="str">
        <v>2021-5</v>
      </c>
      <c r="O54" s="9">
        <v>2021</v>
      </c>
      <c r="P54">
        <v>1</v>
      </c>
      <c r="Q54" t="str">
        <f t="shared" si="0"/>
        <v>2021-1</v>
      </c>
      <c r="S54">
        <v>14</v>
      </c>
      <c r="T54" s="8">
        <v>44384</v>
      </c>
    </row>
    <row r="55" spans="1:20" x14ac:dyDescent="0.25">
      <c r="A55" s="9" t="s">
        <v>193</v>
      </c>
      <c r="B55" s="9" t="s">
        <v>15</v>
      </c>
      <c r="C55" s="9" t="s">
        <v>9</v>
      </c>
      <c r="D55">
        <v>19</v>
      </c>
      <c r="E55" s="8">
        <v>44218</v>
      </c>
      <c r="F55" s="7">
        <v>58960</v>
      </c>
      <c r="G55" t="s">
        <v>16</v>
      </c>
      <c r="H55" t="s">
        <v>220</v>
      </c>
      <c r="I55" s="13">
        <f ca="1">(TODAY()-staff[[#This Row],[Date Joined]])/365</f>
        <v>3.1452054794520548</v>
      </c>
      <c r="J55" s="48">
        <f ca="1">ROUNDUP(IF(staff[[#This Row],[Tenure]]&gt;2,3%,2%)*staff[[#This Row],[Salary]],0)</f>
        <v>1769</v>
      </c>
      <c r="K55" s="9">
        <f>_xlfn.XLOOKUP(staff[[#This Row],[Rating]],$P$34:$P$38,$O$34:$O$38)</f>
        <v>3</v>
      </c>
      <c r="L55" s="9"/>
      <c r="M55" s="48"/>
      <c r="N55" s="13" t="str">
        <v>2021-1</v>
      </c>
      <c r="O55" s="9">
        <v>2021</v>
      </c>
      <c r="P55">
        <v>11</v>
      </c>
      <c r="Q55" t="str">
        <f t="shared" si="0"/>
        <v>2021-11</v>
      </c>
      <c r="S55">
        <v>15</v>
      </c>
      <c r="T55" s="8">
        <v>44415</v>
      </c>
    </row>
    <row r="56" spans="1:20" hidden="1" x14ac:dyDescent="0.25">
      <c r="A56" s="9" t="s">
        <v>79</v>
      </c>
      <c r="B56" s="9" t="s">
        <v>15</v>
      </c>
      <c r="C56" s="9" t="s">
        <v>21</v>
      </c>
      <c r="D56">
        <v>33</v>
      </c>
      <c r="E56" s="8">
        <v>44243</v>
      </c>
      <c r="F56" s="7">
        <v>59430</v>
      </c>
      <c r="G56" t="s">
        <v>16</v>
      </c>
      <c r="H56" t="s">
        <v>218</v>
      </c>
      <c r="I56" s="13">
        <f ca="1">(TODAY()-staff[[#This Row],[Date Joined]])/365</f>
        <v>3.0767123287671234</v>
      </c>
      <c r="J56" s="48">
        <f ca="1">ROUNDUP(IF(staff[[#This Row],[Tenure]]&gt;2,3%,2%)*staff[[#This Row],[Salary]],0)</f>
        <v>1783</v>
      </c>
      <c r="K56" s="9">
        <f>_xlfn.XLOOKUP(staff[[#This Row],[Rating]],$P$34:$P$38,$O$34:$O$38)</f>
        <v>3</v>
      </c>
      <c r="L56" s="9"/>
      <c r="M56" s="48"/>
      <c r="N56" s="13" t="str">
        <v>2022-5</v>
      </c>
      <c r="O56" s="9">
        <v>2021</v>
      </c>
      <c r="P56">
        <v>9</v>
      </c>
      <c r="Q56" t="str">
        <f t="shared" si="0"/>
        <v>2021-9</v>
      </c>
      <c r="S56">
        <v>16</v>
      </c>
      <c r="T56" s="8">
        <v>44446</v>
      </c>
    </row>
    <row r="57" spans="1:20" x14ac:dyDescent="0.25">
      <c r="A57" s="9" t="s">
        <v>171</v>
      </c>
      <c r="B57" s="9" t="s">
        <v>15</v>
      </c>
      <c r="C57" s="9" t="s">
        <v>21</v>
      </c>
      <c r="D57">
        <v>33</v>
      </c>
      <c r="E57" s="8">
        <v>44181</v>
      </c>
      <c r="F57" s="7">
        <v>59430</v>
      </c>
      <c r="G57" t="s">
        <v>16</v>
      </c>
      <c r="H57" t="s">
        <v>220</v>
      </c>
      <c r="I57" s="13">
        <f ca="1">(TODAY()-staff[[#This Row],[Date Joined]])/365</f>
        <v>3.2465753424657535</v>
      </c>
      <c r="J57" s="48">
        <f ca="1">ROUNDUP(IF(staff[[#This Row],[Tenure]]&gt;2,3%,2%)*staff[[#This Row],[Salary]],0)</f>
        <v>1783</v>
      </c>
      <c r="K57" s="9">
        <f>_xlfn.XLOOKUP(staff[[#This Row],[Rating]],$P$34:$P$38,$O$34:$O$38)</f>
        <v>3</v>
      </c>
      <c r="L57" s="9"/>
      <c r="M57" s="48"/>
      <c r="N57" s="13" t="str">
        <v>2022-3</v>
      </c>
      <c r="O57" s="9">
        <v>2021</v>
      </c>
      <c r="P57">
        <v>8</v>
      </c>
      <c r="Q57" t="str">
        <f t="shared" si="0"/>
        <v>2021-8</v>
      </c>
      <c r="S57">
        <v>17</v>
      </c>
      <c r="T57" s="8">
        <v>44476</v>
      </c>
    </row>
    <row r="58" spans="1:20" hidden="1" x14ac:dyDescent="0.25">
      <c r="A58" s="9" t="s">
        <v>38</v>
      </c>
      <c r="B58" s="9" t="s">
        <v>8</v>
      </c>
      <c r="C58" s="9" t="s">
        <v>21</v>
      </c>
      <c r="D58">
        <v>34</v>
      </c>
      <c r="E58" s="8">
        <v>44612</v>
      </c>
      <c r="F58" s="7">
        <v>60130</v>
      </c>
      <c r="G58" t="s">
        <v>16</v>
      </c>
      <c r="H58" t="s">
        <v>218</v>
      </c>
      <c r="I58" s="13">
        <f ca="1">(TODAY()-staff[[#This Row],[Date Joined]])/365</f>
        <v>2.0657534246575344</v>
      </c>
      <c r="J58" s="48">
        <f ca="1">ROUNDUP(IF(staff[[#This Row],[Tenure]]&gt;2,3%,2%)*staff[[#This Row],[Salary]],0)</f>
        <v>1804</v>
      </c>
      <c r="K58" s="9">
        <f>_xlfn.XLOOKUP(staff[[#This Row],[Rating]],$P$34:$P$38,$O$34:$O$38)</f>
        <v>3</v>
      </c>
      <c r="L58" s="9"/>
      <c r="M58" s="48"/>
      <c r="N58" s="13" t="str">
        <v>2021-11</v>
      </c>
      <c r="O58" s="9">
        <v>2021</v>
      </c>
      <c r="P58">
        <v>3</v>
      </c>
      <c r="Q58" t="str">
        <f t="shared" si="0"/>
        <v>2021-3</v>
      </c>
      <c r="S58">
        <v>18</v>
      </c>
      <c r="T58" s="8">
        <v>44507</v>
      </c>
    </row>
    <row r="59" spans="1:20" x14ac:dyDescent="0.25">
      <c r="A59" s="9" t="s">
        <v>132</v>
      </c>
      <c r="B59" s="9" t="s">
        <v>8</v>
      </c>
      <c r="C59" s="9" t="s">
        <v>21</v>
      </c>
      <c r="D59">
        <v>34</v>
      </c>
      <c r="E59" s="8">
        <v>44550</v>
      </c>
      <c r="F59" s="7">
        <v>60130</v>
      </c>
      <c r="G59" t="s">
        <v>16</v>
      </c>
      <c r="H59" t="s">
        <v>220</v>
      </c>
      <c r="I59" s="13">
        <f ca="1">(TODAY()-staff[[#This Row],[Date Joined]])/365</f>
        <v>2.2356164383561645</v>
      </c>
      <c r="J59" s="48">
        <f ca="1">ROUNDUP(IF(staff[[#This Row],[Tenure]]&gt;2,3%,2%)*staff[[#This Row],[Salary]],0)</f>
        <v>1804</v>
      </c>
      <c r="K59" s="9">
        <f>_xlfn.XLOOKUP(staff[[#This Row],[Rating]],$P$34:$P$38,$O$34:$O$38)</f>
        <v>3</v>
      </c>
      <c r="L59" s="9"/>
      <c r="M59" s="48"/>
      <c r="N59" s="13" t="str">
        <v>2021-9</v>
      </c>
      <c r="O59" s="9">
        <v>2021</v>
      </c>
      <c r="P59">
        <v>2</v>
      </c>
      <c r="Q59" t="str">
        <f t="shared" si="0"/>
        <v>2021-2</v>
      </c>
      <c r="S59">
        <v>19</v>
      </c>
      <c r="T59" s="8">
        <v>44537</v>
      </c>
    </row>
    <row r="60" spans="1:20" hidden="1" x14ac:dyDescent="0.25">
      <c r="A60" s="9" t="s">
        <v>37</v>
      </c>
      <c r="B60" s="9" t="s">
        <v>15</v>
      </c>
      <c r="C60" s="9" t="s">
        <v>9</v>
      </c>
      <c r="D60">
        <v>30</v>
      </c>
      <c r="E60" s="8">
        <v>44666</v>
      </c>
      <c r="F60" s="7">
        <v>60570</v>
      </c>
      <c r="G60" t="s">
        <v>16</v>
      </c>
      <c r="H60" t="s">
        <v>218</v>
      </c>
      <c r="I60" s="13">
        <f ca="1">(TODAY()-staff[[#This Row],[Date Joined]])/365</f>
        <v>1.9178082191780821</v>
      </c>
      <c r="J60" s="48">
        <f ca="1">ROUNDUP(IF(staff[[#This Row],[Tenure]]&gt;2,3%,2%)*staff[[#This Row],[Salary]],0)</f>
        <v>1212</v>
      </c>
      <c r="K60" s="9">
        <f>_xlfn.XLOOKUP(staff[[#This Row],[Rating]],$P$34:$P$38,$O$34:$O$38)</f>
        <v>3</v>
      </c>
      <c r="L60" s="9"/>
      <c r="M60" s="48"/>
      <c r="N60" s="13" t="str">
        <v>2022-1</v>
      </c>
      <c r="O60" s="9">
        <v>2021</v>
      </c>
      <c r="P60">
        <v>10</v>
      </c>
      <c r="Q60" t="str">
        <f t="shared" si="0"/>
        <v>2021-10</v>
      </c>
      <c r="S60">
        <v>20</v>
      </c>
      <c r="T60" s="8">
        <v>44568</v>
      </c>
    </row>
    <row r="61" spans="1:20" x14ac:dyDescent="0.25">
      <c r="A61" s="9" t="s">
        <v>131</v>
      </c>
      <c r="B61" s="9" t="s">
        <v>15</v>
      </c>
      <c r="C61" s="9" t="s">
        <v>9</v>
      </c>
      <c r="D61">
        <v>30</v>
      </c>
      <c r="E61" s="8">
        <v>44607</v>
      </c>
      <c r="F61" s="7">
        <v>60570</v>
      </c>
      <c r="G61" t="s">
        <v>16</v>
      </c>
      <c r="H61" t="s">
        <v>220</v>
      </c>
      <c r="I61" s="13">
        <f ca="1">(TODAY()-staff[[#This Row],[Date Joined]])/365</f>
        <v>2.0794520547945203</v>
      </c>
      <c r="J61" s="48">
        <f ca="1">ROUNDUP(IF(staff[[#This Row],[Tenure]]&gt;2,3%,2%)*staff[[#This Row],[Salary]],0)</f>
        <v>1818</v>
      </c>
      <c r="K61" s="9">
        <f>_xlfn.XLOOKUP(staff[[#This Row],[Rating]],$P$34:$P$38,$O$34:$O$38)</f>
        <v>3</v>
      </c>
      <c r="L61" s="9"/>
      <c r="M61" s="48"/>
      <c r="N61" s="13" t="str">
        <v>2021-8</v>
      </c>
      <c r="O61" s="9">
        <v>2022</v>
      </c>
      <c r="P61">
        <v>4</v>
      </c>
      <c r="Q61" t="str">
        <f t="shared" si="0"/>
        <v>2022-4</v>
      </c>
      <c r="S61">
        <v>21</v>
      </c>
      <c r="T61" s="8">
        <v>44599</v>
      </c>
    </row>
    <row r="62" spans="1:20" hidden="1" x14ac:dyDescent="0.25">
      <c r="A62" s="9" t="s">
        <v>61</v>
      </c>
      <c r="B62" s="9" t="s">
        <v>8</v>
      </c>
      <c r="C62" s="9" t="s">
        <v>12</v>
      </c>
      <c r="D62">
        <v>24</v>
      </c>
      <c r="E62" s="8">
        <v>44148</v>
      </c>
      <c r="F62" s="7">
        <v>62780</v>
      </c>
      <c r="G62" t="s">
        <v>16</v>
      </c>
      <c r="H62" t="s">
        <v>218</v>
      </c>
      <c r="I62" s="13">
        <f ca="1">(TODAY()-staff[[#This Row],[Date Joined]])/365</f>
        <v>3.3369863013698629</v>
      </c>
      <c r="J62" s="48">
        <f ca="1">ROUNDUP(IF(staff[[#This Row],[Tenure]]&gt;2,3%,2%)*staff[[#This Row],[Salary]],0)</f>
        <v>1884</v>
      </c>
      <c r="K62" s="9">
        <f>_xlfn.XLOOKUP(staff[[#This Row],[Rating]],$P$34:$P$38,$O$34:$O$38)</f>
        <v>3</v>
      </c>
      <c r="L62" s="9"/>
      <c r="M62" s="48"/>
      <c r="N62" s="13" t="str">
        <v>2020-10</v>
      </c>
      <c r="O62" s="9">
        <v>2022</v>
      </c>
      <c r="P62">
        <v>2</v>
      </c>
      <c r="Q62" t="str">
        <f t="shared" si="0"/>
        <v>2022-2</v>
      </c>
      <c r="S62">
        <v>22</v>
      </c>
      <c r="T62" s="8">
        <v>44627</v>
      </c>
    </row>
    <row r="63" spans="1:20" x14ac:dyDescent="0.25">
      <c r="A63" s="9" t="s">
        <v>153</v>
      </c>
      <c r="B63" s="9" t="s">
        <v>8</v>
      </c>
      <c r="C63" s="9" t="s">
        <v>12</v>
      </c>
      <c r="D63">
        <v>24</v>
      </c>
      <c r="E63" s="8">
        <v>44087</v>
      </c>
      <c r="F63" s="7">
        <v>62780</v>
      </c>
      <c r="G63" t="s">
        <v>16</v>
      </c>
      <c r="H63" t="s">
        <v>220</v>
      </c>
      <c r="I63" s="13">
        <f ca="1">(TODAY()-staff[[#This Row],[Date Joined]])/365</f>
        <v>3.504109589041096</v>
      </c>
      <c r="J63" s="48">
        <f ca="1">ROUNDUP(IF(staff[[#This Row],[Tenure]]&gt;2,3%,2%)*staff[[#This Row],[Salary]],0)</f>
        <v>1884</v>
      </c>
      <c r="K63" s="9">
        <f>_xlfn.XLOOKUP(staff[[#This Row],[Rating]],$P$34:$P$38,$O$34:$O$38)</f>
        <v>3</v>
      </c>
      <c r="L63" s="9"/>
      <c r="M63" s="48"/>
      <c r="N63" s="13" t="str">
        <v>2020-8</v>
      </c>
      <c r="O63" s="9">
        <v>2022</v>
      </c>
      <c r="P63">
        <v>6</v>
      </c>
      <c r="Q63" t="str">
        <f t="shared" si="0"/>
        <v>2022-6</v>
      </c>
      <c r="S63">
        <v>23</v>
      </c>
      <c r="T63" s="8">
        <v>44658</v>
      </c>
    </row>
    <row r="64" spans="1:20" hidden="1" x14ac:dyDescent="0.25">
      <c r="A64" s="9" t="s">
        <v>20</v>
      </c>
      <c r="B64" s="9" t="s">
        <v>219</v>
      </c>
      <c r="C64" s="9" t="s">
        <v>21</v>
      </c>
      <c r="D64">
        <v>30</v>
      </c>
      <c r="E64" s="8">
        <v>44597</v>
      </c>
      <c r="F64" s="7">
        <v>64000</v>
      </c>
      <c r="G64" t="s">
        <v>16</v>
      </c>
      <c r="H64" t="s">
        <v>218</v>
      </c>
      <c r="I64" s="13">
        <f ca="1">(TODAY()-staff[[#This Row],[Date Joined]])/365</f>
        <v>2.106849315068493</v>
      </c>
      <c r="J64" s="48">
        <f ca="1">ROUNDUP(IF(staff[[#This Row],[Tenure]]&gt;2,3%,2%)*staff[[#This Row],[Salary]],0)</f>
        <v>1920</v>
      </c>
      <c r="K64" s="9">
        <f>_xlfn.XLOOKUP(staff[[#This Row],[Rating]],$P$34:$P$38,$O$34:$O$38)</f>
        <v>3</v>
      </c>
      <c r="L64" s="9"/>
      <c r="M64" s="48"/>
      <c r="N64" s="13" t="str">
        <v>2021-3</v>
      </c>
      <c r="O64" s="9">
        <v>2022</v>
      </c>
      <c r="P64">
        <v>9</v>
      </c>
      <c r="Q64" t="str">
        <f t="shared" si="0"/>
        <v>2022-9</v>
      </c>
      <c r="S64">
        <v>24</v>
      </c>
      <c r="T64" s="8">
        <v>44688</v>
      </c>
    </row>
    <row r="65" spans="1:20" x14ac:dyDescent="0.25">
      <c r="A65" s="9" t="s">
        <v>116</v>
      </c>
      <c r="B65" s="9" t="s">
        <v>219</v>
      </c>
      <c r="C65" s="9" t="s">
        <v>21</v>
      </c>
      <c r="D65">
        <v>30</v>
      </c>
      <c r="E65" s="8">
        <v>44535</v>
      </c>
      <c r="F65" s="7">
        <v>64000</v>
      </c>
      <c r="G65" t="s">
        <v>16</v>
      </c>
      <c r="H65" t="s">
        <v>220</v>
      </c>
      <c r="I65" s="13">
        <f ca="1">(TODAY()-staff[[#This Row],[Date Joined]])/365</f>
        <v>2.2767123287671232</v>
      </c>
      <c r="J65" s="48">
        <f ca="1">ROUNDUP(IF(staff[[#This Row],[Tenure]]&gt;2,3%,2%)*staff[[#This Row],[Salary]],0)</f>
        <v>1920</v>
      </c>
      <c r="K65" s="9">
        <f>_xlfn.XLOOKUP(staff[[#This Row],[Rating]],$P$34:$P$38,$O$34:$O$38)</f>
        <v>3</v>
      </c>
      <c r="L65" s="9"/>
      <c r="M65" s="48"/>
      <c r="N65" s="13" t="str">
        <v>2021-2</v>
      </c>
      <c r="O65" s="9">
        <v>2022</v>
      </c>
      <c r="P65">
        <v>7</v>
      </c>
      <c r="Q65" t="str">
        <f t="shared" si="0"/>
        <v>2022-7</v>
      </c>
      <c r="S65">
        <v>25</v>
      </c>
      <c r="T65" s="8">
        <v>44719</v>
      </c>
    </row>
    <row r="66" spans="1:20" hidden="1" x14ac:dyDescent="0.25">
      <c r="A66" s="9" t="s">
        <v>93</v>
      </c>
      <c r="B66" s="9" t="s">
        <v>8</v>
      </c>
      <c r="C66" s="9" t="s">
        <v>21</v>
      </c>
      <c r="D66">
        <v>33</v>
      </c>
      <c r="E66" s="8">
        <v>44067</v>
      </c>
      <c r="F66" s="7">
        <v>65360</v>
      </c>
      <c r="G66" t="s">
        <v>16</v>
      </c>
      <c r="H66" t="s">
        <v>218</v>
      </c>
      <c r="I66" s="13">
        <f ca="1">(TODAY()-staff[[#This Row],[Date Joined]])/365</f>
        <v>3.558904109589041</v>
      </c>
      <c r="J66" s="48">
        <f ca="1">ROUNDUP(IF(staff[[#This Row],[Tenure]]&gt;2,3%,2%)*staff[[#This Row],[Salary]],0)</f>
        <v>1961</v>
      </c>
      <c r="K66" s="9">
        <f>_xlfn.XLOOKUP(staff[[#This Row],[Rating]],$P$34:$P$38,$O$34:$O$38)</f>
        <v>3</v>
      </c>
      <c r="L66" s="9"/>
      <c r="M66" s="48"/>
      <c r="N66" s="13" t="str">
        <v>2020-12</v>
      </c>
      <c r="O66" s="9">
        <v>2022</v>
      </c>
      <c r="P66">
        <v>5</v>
      </c>
      <c r="Q66" t="str">
        <f t="shared" si="0"/>
        <v>2022-5</v>
      </c>
      <c r="S66">
        <v>26</v>
      </c>
      <c r="T66" s="8">
        <v>44749</v>
      </c>
    </row>
    <row r="67" spans="1:20" x14ac:dyDescent="0.25">
      <c r="A67" s="9" t="s">
        <v>186</v>
      </c>
      <c r="B67" s="9" t="s">
        <v>8</v>
      </c>
      <c r="C67" s="9" t="s">
        <v>21</v>
      </c>
      <c r="D67">
        <v>33</v>
      </c>
      <c r="E67" s="8">
        <v>44006</v>
      </c>
      <c r="F67" s="7">
        <v>65360</v>
      </c>
      <c r="G67" t="s">
        <v>16</v>
      </c>
      <c r="H67" t="s">
        <v>220</v>
      </c>
      <c r="I67" s="13">
        <f ca="1">(TODAY()-staff[[#This Row],[Date Joined]])/365</f>
        <v>3.7260273972602738</v>
      </c>
      <c r="J67" s="48">
        <f ca="1">ROUNDUP(IF(staff[[#This Row],[Tenure]]&gt;2,3%,2%)*staff[[#This Row],[Salary]],0)</f>
        <v>1961</v>
      </c>
      <c r="K67" s="9">
        <f>_xlfn.XLOOKUP(staff[[#This Row],[Rating]],$P$34:$P$38,$O$34:$O$38)</f>
        <v>3</v>
      </c>
      <c r="L67" s="9"/>
      <c r="M67" s="48"/>
      <c r="N67" s="13" t="str">
        <v>2020-6</v>
      </c>
      <c r="O67" s="9">
        <v>2022</v>
      </c>
      <c r="P67">
        <v>3</v>
      </c>
      <c r="Q67" t="str">
        <f t="shared" si="0"/>
        <v>2022-3</v>
      </c>
      <c r="S67">
        <v>27</v>
      </c>
      <c r="T67" s="8">
        <v>44780</v>
      </c>
    </row>
    <row r="68" spans="1:20" hidden="1" x14ac:dyDescent="0.25">
      <c r="A68" s="9" t="s">
        <v>76</v>
      </c>
      <c r="B68" s="9" t="s">
        <v>15</v>
      </c>
      <c r="C68" s="9" t="s">
        <v>19</v>
      </c>
      <c r="D68">
        <v>25</v>
      </c>
      <c r="E68" s="8">
        <v>44383</v>
      </c>
      <c r="F68" s="7">
        <v>65700</v>
      </c>
      <c r="G68" t="s">
        <v>16</v>
      </c>
      <c r="H68" t="s">
        <v>218</v>
      </c>
      <c r="I68" s="13">
        <f ca="1">(TODAY()-staff[[#This Row],[Date Joined]])/365</f>
        <v>2.6931506849315068</v>
      </c>
      <c r="J68" s="48">
        <f ca="1">ROUNDUP(IF(staff[[#This Row],[Tenure]]&gt;2,3%,2%)*staff[[#This Row],[Salary]],0)</f>
        <v>1971</v>
      </c>
      <c r="K68" s="9">
        <f>_xlfn.XLOOKUP(staff[[#This Row],[Rating]],$P$34:$P$38,$O$34:$O$38)</f>
        <v>3</v>
      </c>
      <c r="L68" s="9"/>
      <c r="M68" s="48"/>
      <c r="N68" s="13" t="str">
        <v>2021-10</v>
      </c>
      <c r="O68" s="9">
        <v>2022</v>
      </c>
      <c r="P68">
        <v>1</v>
      </c>
      <c r="Q68" t="str">
        <f t="shared" si="0"/>
        <v>2022-1</v>
      </c>
      <c r="S68">
        <v>28</v>
      </c>
      <c r="T68" s="8">
        <v>44811</v>
      </c>
    </row>
    <row r="69" spans="1:20" x14ac:dyDescent="0.25">
      <c r="A69" s="9" t="s">
        <v>168</v>
      </c>
      <c r="B69" s="9" t="s">
        <v>15</v>
      </c>
      <c r="C69" s="9" t="s">
        <v>19</v>
      </c>
      <c r="D69">
        <v>25</v>
      </c>
      <c r="E69" s="8">
        <v>44322</v>
      </c>
      <c r="F69" s="7">
        <v>65700</v>
      </c>
      <c r="G69" t="s">
        <v>16</v>
      </c>
      <c r="H69" t="s">
        <v>220</v>
      </c>
      <c r="I69" s="13">
        <f ca="1">(TODAY()-staff[[#This Row],[Date Joined]])/365</f>
        <v>2.8602739726027395</v>
      </c>
      <c r="J69" s="48">
        <f ca="1">ROUNDUP(IF(staff[[#This Row],[Tenure]]&gt;2,3%,2%)*staff[[#This Row],[Salary]],0)</f>
        <v>1971</v>
      </c>
      <c r="K69" s="9">
        <f>_xlfn.XLOOKUP(staff[[#This Row],[Rating]],$P$34:$P$38,$O$34:$O$38)</f>
        <v>3</v>
      </c>
      <c r="L69" s="9"/>
      <c r="M69" s="48"/>
      <c r="N69" s="13" t="str">
        <v>2022-10</v>
      </c>
      <c r="O69" s="9">
        <v>2022</v>
      </c>
      <c r="P69">
        <v>10</v>
      </c>
      <c r="Q69" t="str">
        <f t="shared" si="0"/>
        <v>2022-10</v>
      </c>
      <c r="S69">
        <v>29</v>
      </c>
      <c r="T69" s="8">
        <v>44841</v>
      </c>
    </row>
    <row r="70" spans="1:20" hidden="1" x14ac:dyDescent="0.25">
      <c r="A70" s="9" t="s">
        <v>32</v>
      </c>
      <c r="B70" s="9" t="s">
        <v>8</v>
      </c>
      <c r="C70" s="9" t="s">
        <v>21</v>
      </c>
      <c r="D70">
        <v>21</v>
      </c>
      <c r="E70" s="8">
        <v>44317</v>
      </c>
      <c r="F70" s="7">
        <v>65920</v>
      </c>
      <c r="G70" t="s">
        <v>16</v>
      </c>
      <c r="H70" t="s">
        <v>218</v>
      </c>
      <c r="I70" s="13">
        <f ca="1">(TODAY()-staff[[#This Row],[Date Joined]])/365</f>
        <v>2.8739726027397259</v>
      </c>
      <c r="J70" s="48">
        <f ca="1">ROUNDUP(IF(staff[[#This Row],[Tenure]]&gt;2,3%,2%)*staff[[#This Row],[Salary]],0)</f>
        <v>1978</v>
      </c>
      <c r="K70" s="9">
        <f>_xlfn.XLOOKUP(staff[[#This Row],[Rating]],$P$34:$P$38,$O$34:$O$38)</f>
        <v>3</v>
      </c>
      <c r="L70" s="9"/>
      <c r="M70" s="48"/>
      <c r="N70" s="13" t="str">
        <v>2022-8</v>
      </c>
      <c r="O70" s="9">
        <v>2022</v>
      </c>
      <c r="P70">
        <v>8</v>
      </c>
      <c r="Q70" t="str">
        <f t="shared" si="0"/>
        <v>2022-8</v>
      </c>
      <c r="S70">
        <v>30</v>
      </c>
      <c r="T70" s="8">
        <v>44872</v>
      </c>
    </row>
    <row r="71" spans="1:20" x14ac:dyDescent="0.25">
      <c r="A71" s="9" t="s">
        <v>126</v>
      </c>
      <c r="B71" s="9" t="s">
        <v>8</v>
      </c>
      <c r="C71" s="9" t="s">
        <v>21</v>
      </c>
      <c r="D71">
        <v>21</v>
      </c>
      <c r="E71" s="8">
        <v>44256</v>
      </c>
      <c r="F71" s="7">
        <v>65920</v>
      </c>
      <c r="G71" t="s">
        <v>16</v>
      </c>
      <c r="H71" t="s">
        <v>220</v>
      </c>
      <c r="I71" s="13">
        <f ca="1">(TODAY()-staff[[#This Row],[Date Joined]])/365</f>
        <v>3.0410958904109591</v>
      </c>
      <c r="J71" s="48">
        <f ca="1">ROUNDUP(IF(staff[[#This Row],[Tenure]]&gt;2,3%,2%)*staff[[#This Row],[Salary]],0)</f>
        <v>1978</v>
      </c>
      <c r="K71" s="9">
        <f>_xlfn.XLOOKUP(staff[[#This Row],[Rating]],$P$34:$P$38,$O$34:$O$38)</f>
        <v>3</v>
      </c>
      <c r="L71" s="9"/>
      <c r="M71" s="48"/>
      <c r="N71" s="13" t="str">
        <v>2023-4</v>
      </c>
      <c r="O71" s="9">
        <v>2023</v>
      </c>
      <c r="P71">
        <v>4</v>
      </c>
      <c r="Q71" t="str">
        <f t="shared" si="0"/>
        <v>2023-4</v>
      </c>
      <c r="S71">
        <v>31</v>
      </c>
      <c r="T71" s="8">
        <v>44902</v>
      </c>
    </row>
    <row r="72" spans="1:20" hidden="1" x14ac:dyDescent="0.25">
      <c r="A72" s="9" t="s">
        <v>27</v>
      </c>
      <c r="B72" s="9" t="s">
        <v>8</v>
      </c>
      <c r="C72" s="9" t="s">
        <v>21</v>
      </c>
      <c r="D72">
        <v>30</v>
      </c>
      <c r="E72" s="8">
        <v>44389</v>
      </c>
      <c r="F72" s="7">
        <v>67910</v>
      </c>
      <c r="G72" t="s">
        <v>24</v>
      </c>
      <c r="H72" t="s">
        <v>218</v>
      </c>
      <c r="I72" s="13">
        <f ca="1">(TODAY()-staff[[#This Row],[Date Joined]])/365</f>
        <v>2.6767123287671235</v>
      </c>
      <c r="J72" s="48">
        <f ca="1">ROUNDUP(IF(staff[[#This Row],[Tenure]]&gt;2,3%,2%)*staff[[#This Row],[Salary]],0)</f>
        <v>2038</v>
      </c>
      <c r="K72" s="9">
        <f>_xlfn.XLOOKUP(staff[[#This Row],[Rating]],$P$34:$P$38,$O$34:$O$38)</f>
        <v>2</v>
      </c>
      <c r="L72" s="9"/>
      <c r="M72" s="48"/>
      <c r="N72" s="13" t="str">
        <v>2023-2</v>
      </c>
      <c r="O72" s="9">
        <v>2023</v>
      </c>
      <c r="P72">
        <v>2</v>
      </c>
      <c r="Q72" t="str">
        <f t="shared" si="0"/>
        <v>2023-2</v>
      </c>
      <c r="S72">
        <v>32</v>
      </c>
      <c r="T72" s="8">
        <v>44933</v>
      </c>
    </row>
    <row r="73" spans="1:20" x14ac:dyDescent="0.25">
      <c r="A73" s="9" t="s">
        <v>121</v>
      </c>
      <c r="B73" s="9" t="s">
        <v>8</v>
      </c>
      <c r="C73" s="9" t="s">
        <v>21</v>
      </c>
      <c r="D73">
        <v>30</v>
      </c>
      <c r="E73" s="8">
        <v>44328</v>
      </c>
      <c r="F73" s="7">
        <v>67910</v>
      </c>
      <c r="G73" t="s">
        <v>24</v>
      </c>
      <c r="H73" t="s">
        <v>220</v>
      </c>
      <c r="I73" s="13">
        <f ca="1">(TODAY()-staff[[#This Row],[Date Joined]])/365</f>
        <v>2.8438356164383563</v>
      </c>
      <c r="J73" s="48">
        <f ca="1">ROUNDUP(IF(staff[[#This Row],[Tenure]]&gt;2,3%,2%)*staff[[#This Row],[Salary]],0)</f>
        <v>2038</v>
      </c>
      <c r="K73" s="9">
        <f>_xlfn.XLOOKUP(staff[[#This Row],[Rating]],$P$34:$P$38,$O$34:$O$38)</f>
        <v>2</v>
      </c>
      <c r="L73" s="9"/>
      <c r="M73" s="48"/>
    </row>
    <row r="74" spans="1:20" hidden="1" x14ac:dyDescent="0.25">
      <c r="A74" s="9" t="s">
        <v>45</v>
      </c>
      <c r="B74" s="9" t="s">
        <v>15</v>
      </c>
      <c r="C74" s="9" t="s">
        <v>9</v>
      </c>
      <c r="D74">
        <v>30</v>
      </c>
      <c r="E74" s="8">
        <v>44701</v>
      </c>
      <c r="F74" s="7">
        <v>67950</v>
      </c>
      <c r="G74" t="s">
        <v>16</v>
      </c>
      <c r="H74" t="s">
        <v>218</v>
      </c>
      <c r="I74" s="13">
        <f ca="1">(TODAY()-staff[[#This Row],[Date Joined]])/365</f>
        <v>1.821917808219178</v>
      </c>
      <c r="J74" s="48">
        <f ca="1">ROUNDUP(IF(staff[[#This Row],[Tenure]]&gt;2,3%,2%)*staff[[#This Row],[Salary]],0)</f>
        <v>1359</v>
      </c>
      <c r="K74" s="9">
        <f>_xlfn.XLOOKUP(staff[[#This Row],[Rating]],$P$34:$P$38,$O$34:$O$38)</f>
        <v>3</v>
      </c>
      <c r="L74" s="9"/>
      <c r="M74" s="48"/>
    </row>
    <row r="75" spans="1:20" x14ac:dyDescent="0.25">
      <c r="A75" s="9" t="s">
        <v>138</v>
      </c>
      <c r="B75" s="9" t="s">
        <v>15</v>
      </c>
      <c r="C75" s="9" t="s">
        <v>9</v>
      </c>
      <c r="D75">
        <v>30</v>
      </c>
      <c r="E75" s="8">
        <v>44640</v>
      </c>
      <c r="F75" s="7">
        <v>67950</v>
      </c>
      <c r="G75" t="s">
        <v>16</v>
      </c>
      <c r="H75" t="s">
        <v>220</v>
      </c>
      <c r="I75" s="13">
        <f ca="1">(TODAY()-staff[[#This Row],[Date Joined]])/365</f>
        <v>1.989041095890411</v>
      </c>
      <c r="J75" s="48">
        <f ca="1">ROUNDUP(IF(staff[[#This Row],[Tenure]]&gt;2,3%,2%)*staff[[#This Row],[Salary]],0)</f>
        <v>1359</v>
      </c>
      <c r="K75" s="9">
        <f>_xlfn.XLOOKUP(staff[[#This Row],[Rating]],$P$34:$P$38,$O$34:$O$38)</f>
        <v>3</v>
      </c>
      <c r="L75" s="9"/>
      <c r="M75" s="48"/>
    </row>
    <row r="76" spans="1:20" hidden="1" x14ac:dyDescent="0.25">
      <c r="A76" s="9" t="s">
        <v>91</v>
      </c>
      <c r="B76" s="9" t="s">
        <v>8</v>
      </c>
      <c r="C76" s="9" t="s">
        <v>19</v>
      </c>
      <c r="D76">
        <v>20</v>
      </c>
      <c r="E76" s="8">
        <v>44537</v>
      </c>
      <c r="F76" s="7">
        <v>68900</v>
      </c>
      <c r="G76" t="s">
        <v>24</v>
      </c>
      <c r="H76" t="s">
        <v>218</v>
      </c>
      <c r="I76" s="13">
        <f ca="1">(TODAY()-staff[[#This Row],[Date Joined]])/365</f>
        <v>2.2712328767123289</v>
      </c>
      <c r="J76" s="48">
        <f ca="1">ROUNDUP(IF(staff[[#This Row],[Tenure]]&gt;2,3%,2%)*staff[[#This Row],[Salary]],0)</f>
        <v>2067</v>
      </c>
      <c r="K76" s="9">
        <f>_xlfn.XLOOKUP(staff[[#This Row],[Rating]],$P$34:$P$38,$O$34:$O$38)</f>
        <v>2</v>
      </c>
      <c r="L76" s="9"/>
      <c r="M76" s="48"/>
    </row>
    <row r="77" spans="1:20" x14ac:dyDescent="0.25">
      <c r="A77" s="9" t="s">
        <v>184</v>
      </c>
      <c r="B77" s="9" t="s">
        <v>8</v>
      </c>
      <c r="C77" s="9" t="s">
        <v>19</v>
      </c>
      <c r="D77">
        <v>20</v>
      </c>
      <c r="E77" s="8">
        <v>44476</v>
      </c>
      <c r="F77" s="7">
        <v>68900</v>
      </c>
      <c r="G77" t="s">
        <v>24</v>
      </c>
      <c r="H77" t="s">
        <v>220</v>
      </c>
      <c r="I77" s="13">
        <f ca="1">(TODAY()-staff[[#This Row],[Date Joined]])/365</f>
        <v>2.4383561643835616</v>
      </c>
      <c r="J77" s="48">
        <f ca="1">ROUNDUP(IF(staff[[#This Row],[Tenure]]&gt;2,3%,2%)*staff[[#This Row],[Salary]],0)</f>
        <v>2067</v>
      </c>
      <c r="K77" s="9">
        <f>_xlfn.XLOOKUP(staff[[#This Row],[Rating]],$P$34:$P$38,$O$34:$O$38)</f>
        <v>2</v>
      </c>
      <c r="L77" s="9"/>
      <c r="M77" s="48"/>
    </row>
    <row r="78" spans="1:20" hidden="1" x14ac:dyDescent="0.25">
      <c r="A78" s="9" t="s">
        <v>97</v>
      </c>
      <c r="B78" s="9" t="s">
        <v>15</v>
      </c>
      <c r="C78" s="9" t="s">
        <v>12</v>
      </c>
      <c r="D78">
        <v>37</v>
      </c>
      <c r="E78" s="8">
        <v>44701</v>
      </c>
      <c r="F78" s="7">
        <v>69070</v>
      </c>
      <c r="G78" t="s">
        <v>16</v>
      </c>
      <c r="H78" t="s">
        <v>218</v>
      </c>
      <c r="I78" s="13">
        <f ca="1">(TODAY()-staff[[#This Row],[Date Joined]])/365</f>
        <v>1.821917808219178</v>
      </c>
      <c r="J78" s="48">
        <f ca="1">ROUNDUP(IF(staff[[#This Row],[Tenure]]&gt;2,3%,2%)*staff[[#This Row],[Salary]],0)</f>
        <v>1382</v>
      </c>
      <c r="K78" s="9">
        <f>_xlfn.XLOOKUP(staff[[#This Row],[Rating]],$P$34:$P$38,$O$34:$O$38)</f>
        <v>3</v>
      </c>
      <c r="L78" s="9"/>
      <c r="M78" s="48"/>
    </row>
    <row r="79" spans="1:20" x14ac:dyDescent="0.25">
      <c r="A79" s="9" t="s">
        <v>190</v>
      </c>
      <c r="B79" s="9" t="s">
        <v>15</v>
      </c>
      <c r="C79" s="9" t="s">
        <v>12</v>
      </c>
      <c r="D79">
        <v>37</v>
      </c>
      <c r="E79" s="8">
        <v>44640</v>
      </c>
      <c r="F79" s="7">
        <v>69070</v>
      </c>
      <c r="G79" t="s">
        <v>16</v>
      </c>
      <c r="H79" t="s">
        <v>220</v>
      </c>
      <c r="I79" s="13">
        <f ca="1">(TODAY()-staff[[#This Row],[Date Joined]])/365</f>
        <v>1.989041095890411</v>
      </c>
      <c r="J79" s="48">
        <f ca="1">ROUNDUP(IF(staff[[#This Row],[Tenure]]&gt;2,3%,2%)*staff[[#This Row],[Salary]],0)</f>
        <v>1382</v>
      </c>
      <c r="K79" s="9">
        <f>_xlfn.XLOOKUP(staff[[#This Row],[Rating]],$P$34:$P$38,$O$34:$O$38)</f>
        <v>3</v>
      </c>
      <c r="L79" s="9"/>
      <c r="M79" s="48"/>
    </row>
    <row r="80" spans="1:20" hidden="1" x14ac:dyDescent="0.25">
      <c r="A80" s="9" t="s">
        <v>25</v>
      </c>
      <c r="B80" s="9" t="s">
        <v>15</v>
      </c>
      <c r="C80" s="9" t="s">
        <v>12</v>
      </c>
      <c r="D80">
        <v>30</v>
      </c>
      <c r="E80" s="8">
        <v>44273</v>
      </c>
      <c r="F80" s="7">
        <v>69120</v>
      </c>
      <c r="G80" t="s">
        <v>16</v>
      </c>
      <c r="H80" t="s">
        <v>218</v>
      </c>
      <c r="I80" s="13">
        <f ca="1">(TODAY()-staff[[#This Row],[Date Joined]])/365</f>
        <v>2.9945205479452053</v>
      </c>
      <c r="J80" s="48">
        <f ca="1">ROUNDUP(IF(staff[[#This Row],[Tenure]]&gt;2,3%,2%)*staff[[#This Row],[Salary]],0)</f>
        <v>2074</v>
      </c>
      <c r="K80" s="9">
        <f>_xlfn.XLOOKUP(staff[[#This Row],[Rating]],$P$34:$P$38,$O$34:$O$38)</f>
        <v>3</v>
      </c>
      <c r="L80" s="9"/>
      <c r="M80" s="48"/>
    </row>
    <row r="81" spans="1:13" x14ac:dyDescent="0.25">
      <c r="A81" s="9" t="s">
        <v>119</v>
      </c>
      <c r="B81" s="9" t="s">
        <v>15</v>
      </c>
      <c r="C81" s="9" t="s">
        <v>12</v>
      </c>
      <c r="D81">
        <v>30</v>
      </c>
      <c r="E81" s="8">
        <v>44214</v>
      </c>
      <c r="F81" s="7">
        <v>69120</v>
      </c>
      <c r="G81" t="s">
        <v>16</v>
      </c>
      <c r="H81" t="s">
        <v>220</v>
      </c>
      <c r="I81" s="13">
        <f ca="1">(TODAY()-staff[[#This Row],[Date Joined]])/365</f>
        <v>3.1561643835616437</v>
      </c>
      <c r="J81" s="48">
        <f ca="1">ROUNDUP(IF(staff[[#This Row],[Tenure]]&gt;2,3%,2%)*staff[[#This Row],[Salary]],0)</f>
        <v>2074</v>
      </c>
      <c r="K81" s="9">
        <f>_xlfn.XLOOKUP(staff[[#This Row],[Rating]],$P$34:$P$38,$O$34:$O$38)</f>
        <v>3</v>
      </c>
      <c r="L81" s="9"/>
      <c r="M81" s="48"/>
    </row>
    <row r="82" spans="1:13" hidden="1" x14ac:dyDescent="0.25">
      <c r="A82" s="9" t="s">
        <v>67</v>
      </c>
      <c r="B82" s="9" t="s">
        <v>15</v>
      </c>
      <c r="C82" s="9" t="s">
        <v>12</v>
      </c>
      <c r="D82">
        <v>30</v>
      </c>
      <c r="E82" s="8">
        <v>44850</v>
      </c>
      <c r="F82" s="7">
        <v>69710</v>
      </c>
      <c r="G82" t="s">
        <v>16</v>
      </c>
      <c r="H82" t="s">
        <v>218</v>
      </c>
      <c r="I82" s="13">
        <f ca="1">(TODAY()-staff[[#This Row],[Date Joined]])/365</f>
        <v>1.4136986301369863</v>
      </c>
      <c r="J82" s="48">
        <f ca="1">ROUNDUP(IF(staff[[#This Row],[Tenure]]&gt;2,3%,2%)*staff[[#This Row],[Salary]],0)</f>
        <v>1395</v>
      </c>
      <c r="K82" s="9">
        <f>_xlfn.XLOOKUP(staff[[#This Row],[Rating]],$P$34:$P$38,$O$34:$O$38)</f>
        <v>3</v>
      </c>
      <c r="L82" s="9"/>
      <c r="M82" s="48"/>
    </row>
    <row r="83" spans="1:13" x14ac:dyDescent="0.25">
      <c r="A83" s="9" t="s">
        <v>159</v>
      </c>
      <c r="B83" s="9" t="s">
        <v>15</v>
      </c>
      <c r="C83" s="9" t="s">
        <v>12</v>
      </c>
      <c r="D83">
        <v>30</v>
      </c>
      <c r="E83" s="8">
        <v>44789</v>
      </c>
      <c r="F83" s="7">
        <v>69710</v>
      </c>
      <c r="G83" t="s">
        <v>16</v>
      </c>
      <c r="H83" t="s">
        <v>220</v>
      </c>
      <c r="I83" s="13">
        <f ca="1">(TODAY()-staff[[#This Row],[Date Joined]])/365</f>
        <v>1.5808219178082192</v>
      </c>
      <c r="J83" s="48">
        <f ca="1">ROUNDUP(IF(staff[[#This Row],[Tenure]]&gt;2,3%,2%)*staff[[#This Row],[Salary]],0)</f>
        <v>1395</v>
      </c>
      <c r="K83" s="9">
        <f>_xlfn.XLOOKUP(staff[[#This Row],[Rating]],$P$34:$P$38,$O$34:$O$38)</f>
        <v>3</v>
      </c>
      <c r="L83" s="9"/>
      <c r="M83" s="48"/>
    </row>
    <row r="84" spans="1:13" hidden="1" x14ac:dyDescent="0.25">
      <c r="A84" s="9" t="s">
        <v>90</v>
      </c>
      <c r="B84" s="9" t="s">
        <v>15</v>
      </c>
      <c r="C84" s="9" t="s">
        <v>21</v>
      </c>
      <c r="D84">
        <v>42</v>
      </c>
      <c r="E84" s="8">
        <v>44731</v>
      </c>
      <c r="F84" s="7">
        <v>70270</v>
      </c>
      <c r="G84" t="s">
        <v>24</v>
      </c>
      <c r="H84" t="s">
        <v>218</v>
      </c>
      <c r="I84" s="13">
        <f ca="1">(TODAY()-staff[[#This Row],[Date Joined]])/365</f>
        <v>1.7397260273972603</v>
      </c>
      <c r="J84" s="48">
        <f ca="1">ROUNDUP(IF(staff[[#This Row],[Tenure]]&gt;2,3%,2%)*staff[[#This Row],[Salary]],0)</f>
        <v>1406</v>
      </c>
      <c r="K84" s="9">
        <f>_xlfn.XLOOKUP(staff[[#This Row],[Rating]],$P$34:$P$38,$O$34:$O$38)</f>
        <v>2</v>
      </c>
      <c r="L84" s="9"/>
      <c r="M84" s="48"/>
    </row>
    <row r="85" spans="1:13" x14ac:dyDescent="0.25">
      <c r="A85" s="9" t="s">
        <v>183</v>
      </c>
      <c r="B85" s="9" t="s">
        <v>15</v>
      </c>
      <c r="C85" s="9" t="s">
        <v>21</v>
      </c>
      <c r="D85">
        <v>42</v>
      </c>
      <c r="E85" s="8">
        <v>44670</v>
      </c>
      <c r="F85" s="7">
        <v>70270</v>
      </c>
      <c r="G85" t="s">
        <v>24</v>
      </c>
      <c r="H85" t="s">
        <v>220</v>
      </c>
      <c r="I85" s="13">
        <f ca="1">(TODAY()-staff[[#This Row],[Date Joined]])/365</f>
        <v>1.9068493150684931</v>
      </c>
      <c r="J85" s="48">
        <f ca="1">ROUNDUP(IF(staff[[#This Row],[Tenure]]&gt;2,3%,2%)*staff[[#This Row],[Salary]],0)</f>
        <v>1406</v>
      </c>
      <c r="K85" s="9">
        <f>_xlfn.XLOOKUP(staff[[#This Row],[Rating]],$P$34:$P$38,$O$34:$O$38)</f>
        <v>2</v>
      </c>
      <c r="L85" s="9"/>
      <c r="M85" s="48"/>
    </row>
    <row r="86" spans="1:13" hidden="1" x14ac:dyDescent="0.25">
      <c r="A86" s="9" t="s">
        <v>70</v>
      </c>
      <c r="B86" s="9" t="s">
        <v>15</v>
      </c>
      <c r="C86" s="9" t="s">
        <v>9</v>
      </c>
      <c r="D86">
        <v>46</v>
      </c>
      <c r="E86" s="8">
        <v>44758</v>
      </c>
      <c r="F86" s="7">
        <v>70610</v>
      </c>
      <c r="G86" t="s">
        <v>16</v>
      </c>
      <c r="H86" t="s">
        <v>218</v>
      </c>
      <c r="I86" s="13">
        <f ca="1">(TODAY()-staff[[#This Row],[Date Joined]])/365</f>
        <v>1.6657534246575343</v>
      </c>
      <c r="J86" s="48">
        <f ca="1">ROUNDUP(IF(staff[[#This Row],[Tenure]]&gt;2,3%,2%)*staff[[#This Row],[Salary]],0)</f>
        <v>1413</v>
      </c>
      <c r="K86" s="9">
        <f>_xlfn.XLOOKUP(staff[[#This Row],[Rating]],$P$34:$P$38,$O$34:$O$38)</f>
        <v>3</v>
      </c>
      <c r="L86" s="9"/>
      <c r="M86" s="48"/>
    </row>
    <row r="87" spans="1:13" x14ac:dyDescent="0.25">
      <c r="A87" s="9" t="s">
        <v>162</v>
      </c>
      <c r="B87" s="9" t="s">
        <v>15</v>
      </c>
      <c r="C87" s="9" t="s">
        <v>9</v>
      </c>
      <c r="D87">
        <v>46</v>
      </c>
      <c r="E87" s="8">
        <v>44697</v>
      </c>
      <c r="F87" s="7">
        <v>70610</v>
      </c>
      <c r="G87" t="s">
        <v>16</v>
      </c>
      <c r="H87" t="s">
        <v>220</v>
      </c>
      <c r="I87" s="13">
        <f ca="1">(TODAY()-staff[[#This Row],[Date Joined]])/365</f>
        <v>1.832876712328767</v>
      </c>
      <c r="J87" s="48">
        <f ca="1">ROUNDUP(IF(staff[[#This Row],[Tenure]]&gt;2,3%,2%)*staff[[#This Row],[Salary]],0)</f>
        <v>1413</v>
      </c>
      <c r="K87" s="9">
        <f>_xlfn.XLOOKUP(staff[[#This Row],[Rating]],$P$34:$P$38,$O$34:$O$38)</f>
        <v>3</v>
      </c>
      <c r="L87" s="9"/>
      <c r="M87" s="48"/>
    </row>
    <row r="88" spans="1:13" hidden="1" x14ac:dyDescent="0.25">
      <c r="A88" s="9" t="s">
        <v>94</v>
      </c>
      <c r="B88" s="9" t="s">
        <v>15</v>
      </c>
      <c r="C88" s="9" t="s">
        <v>21</v>
      </c>
      <c r="D88">
        <v>36</v>
      </c>
      <c r="E88" s="8">
        <v>44333</v>
      </c>
      <c r="F88" s="7">
        <v>71380</v>
      </c>
      <c r="G88" t="s">
        <v>16</v>
      </c>
      <c r="H88" t="s">
        <v>218</v>
      </c>
      <c r="I88" s="13">
        <f ca="1">(TODAY()-staff[[#This Row],[Date Joined]])/365</f>
        <v>2.8301369863013699</v>
      </c>
      <c r="J88" s="48">
        <f ca="1">ROUNDUP(IF(staff[[#This Row],[Tenure]]&gt;2,3%,2%)*staff[[#This Row],[Salary]],0)</f>
        <v>2142</v>
      </c>
      <c r="K88" s="9">
        <f>_xlfn.XLOOKUP(staff[[#This Row],[Rating]],$P$34:$P$38,$O$34:$O$38)</f>
        <v>3</v>
      </c>
      <c r="L88" s="9"/>
      <c r="M88" s="48"/>
    </row>
    <row r="89" spans="1:13" x14ac:dyDescent="0.25">
      <c r="A89" s="9" t="s">
        <v>187</v>
      </c>
      <c r="B89" s="9" t="s">
        <v>15</v>
      </c>
      <c r="C89" s="9" t="s">
        <v>21</v>
      </c>
      <c r="D89">
        <v>36</v>
      </c>
      <c r="E89" s="8">
        <v>44272</v>
      </c>
      <c r="F89" s="7">
        <v>71380</v>
      </c>
      <c r="G89" t="s">
        <v>16</v>
      </c>
      <c r="H89" t="s">
        <v>220</v>
      </c>
      <c r="I89" s="13">
        <f ca="1">(TODAY()-staff[[#This Row],[Date Joined]])/365</f>
        <v>2.9972602739726026</v>
      </c>
      <c r="J89" s="48">
        <f ca="1">ROUNDUP(IF(staff[[#This Row],[Tenure]]&gt;2,3%,2%)*staff[[#This Row],[Salary]],0)</f>
        <v>2142</v>
      </c>
      <c r="K89" s="9">
        <f>_xlfn.XLOOKUP(staff[[#This Row],[Rating]],$P$34:$P$38,$O$34:$O$38)</f>
        <v>3</v>
      </c>
      <c r="L89" s="9"/>
      <c r="M89" s="48"/>
    </row>
    <row r="90" spans="1:13" hidden="1" x14ac:dyDescent="0.25">
      <c r="A90" s="9" t="s">
        <v>18</v>
      </c>
      <c r="B90" s="9" t="s">
        <v>15</v>
      </c>
      <c r="C90" s="9" t="s">
        <v>19</v>
      </c>
      <c r="D90">
        <v>33</v>
      </c>
      <c r="E90" s="8">
        <v>44385</v>
      </c>
      <c r="F90" s="7">
        <v>74550</v>
      </c>
      <c r="G90" t="s">
        <v>16</v>
      </c>
      <c r="H90" t="s">
        <v>218</v>
      </c>
      <c r="I90" s="13">
        <f ca="1">(TODAY()-staff[[#This Row],[Date Joined]])/365</f>
        <v>2.6876712328767125</v>
      </c>
      <c r="J90" s="48">
        <f ca="1">ROUNDUP(IF(staff[[#This Row],[Tenure]]&gt;2,3%,2%)*staff[[#This Row],[Salary]],0)</f>
        <v>2237</v>
      </c>
      <c r="K90" s="9">
        <f>_xlfn.XLOOKUP(staff[[#This Row],[Rating]],$P$34:$P$38,$O$34:$O$38)</f>
        <v>3</v>
      </c>
      <c r="L90" s="9"/>
      <c r="M90" s="48"/>
    </row>
    <row r="91" spans="1:13" x14ac:dyDescent="0.25">
      <c r="A91" s="9" t="s">
        <v>115</v>
      </c>
      <c r="B91" s="9" t="s">
        <v>15</v>
      </c>
      <c r="C91" s="9" t="s">
        <v>19</v>
      </c>
      <c r="D91">
        <v>33</v>
      </c>
      <c r="E91" s="8">
        <v>44324</v>
      </c>
      <c r="F91" s="7">
        <v>74550</v>
      </c>
      <c r="G91" t="s">
        <v>16</v>
      </c>
      <c r="H91" t="s">
        <v>220</v>
      </c>
      <c r="I91" s="13">
        <f ca="1">(TODAY()-staff[[#This Row],[Date Joined]])/365</f>
        <v>2.8547945205479452</v>
      </c>
      <c r="J91" s="48">
        <f ca="1">ROUNDUP(IF(staff[[#This Row],[Tenure]]&gt;2,3%,2%)*staff[[#This Row],[Salary]],0)</f>
        <v>2237</v>
      </c>
      <c r="K91" s="9">
        <f>_xlfn.XLOOKUP(staff[[#This Row],[Rating]],$P$34:$P$38,$O$34:$O$38)</f>
        <v>3</v>
      </c>
      <c r="L91" s="9"/>
      <c r="M91" s="48"/>
    </row>
    <row r="92" spans="1:13" hidden="1" x14ac:dyDescent="0.25">
      <c r="A92" s="9" t="s">
        <v>7</v>
      </c>
      <c r="B92" s="9" t="s">
        <v>8</v>
      </c>
      <c r="C92" s="9" t="s">
        <v>9</v>
      </c>
      <c r="D92">
        <v>42</v>
      </c>
      <c r="E92" s="8">
        <v>44779</v>
      </c>
      <c r="F92" s="7">
        <v>75000</v>
      </c>
      <c r="G92" t="s">
        <v>10</v>
      </c>
      <c r="H92" t="s">
        <v>218</v>
      </c>
      <c r="I92" s="13">
        <f ca="1">(TODAY()-staff[[#This Row],[Date Joined]])/365</f>
        <v>1.6082191780821917</v>
      </c>
      <c r="J92" s="48">
        <f ca="1">ROUNDUP(IF(staff[[#This Row],[Tenure]]&gt;2,3%,2%)*staff[[#This Row],[Salary]],0)</f>
        <v>1500</v>
      </c>
      <c r="K92" s="9">
        <f>_xlfn.XLOOKUP(staff[[#This Row],[Rating]],$P$34:$P$38,$O$34:$O$38)</f>
        <v>5</v>
      </c>
      <c r="L92" s="9"/>
      <c r="M92" s="48"/>
    </row>
    <row r="93" spans="1:13" x14ac:dyDescent="0.25">
      <c r="A93" s="9" t="s">
        <v>111</v>
      </c>
      <c r="B93" s="9" t="s">
        <v>8</v>
      </c>
      <c r="C93" s="9" t="s">
        <v>9</v>
      </c>
      <c r="D93">
        <v>42</v>
      </c>
      <c r="E93" s="8">
        <v>44718</v>
      </c>
      <c r="F93" s="7">
        <v>75000</v>
      </c>
      <c r="G93" t="s">
        <v>10</v>
      </c>
      <c r="H93" t="s">
        <v>220</v>
      </c>
      <c r="I93" s="13">
        <f ca="1">(TODAY()-staff[[#This Row],[Date Joined]])/365</f>
        <v>1.7753424657534247</v>
      </c>
      <c r="J93" s="48">
        <f ca="1">ROUNDUP(IF(staff[[#This Row],[Tenure]]&gt;2,3%,2%)*staff[[#This Row],[Salary]],0)</f>
        <v>1500</v>
      </c>
      <c r="K93" s="9">
        <f>_xlfn.XLOOKUP(staff[[#This Row],[Rating]],$P$34:$P$38,$O$34:$O$38)</f>
        <v>5</v>
      </c>
      <c r="L93" s="9"/>
      <c r="M93" s="48"/>
    </row>
    <row r="94" spans="1:13" hidden="1" x14ac:dyDescent="0.25">
      <c r="A94" s="9" t="s">
        <v>95</v>
      </c>
      <c r="B94" s="9" t="s">
        <v>8</v>
      </c>
      <c r="C94" s="9" t="s">
        <v>12</v>
      </c>
      <c r="D94">
        <v>33</v>
      </c>
      <c r="E94" s="8">
        <v>44312</v>
      </c>
      <c r="F94" s="7">
        <v>75280</v>
      </c>
      <c r="G94" t="s">
        <v>16</v>
      </c>
      <c r="H94" t="s">
        <v>218</v>
      </c>
      <c r="I94" s="13">
        <f ca="1">(TODAY()-staff[[#This Row],[Date Joined]])/365</f>
        <v>2.8876712328767122</v>
      </c>
      <c r="J94" s="48">
        <f ca="1">ROUNDUP(IF(staff[[#This Row],[Tenure]]&gt;2,3%,2%)*staff[[#This Row],[Salary]],0)</f>
        <v>2259</v>
      </c>
      <c r="K94" s="9">
        <f>_xlfn.XLOOKUP(staff[[#This Row],[Rating]],$P$34:$P$38,$O$34:$O$38)</f>
        <v>3</v>
      </c>
      <c r="L94" s="9"/>
      <c r="M94" s="48"/>
    </row>
    <row r="95" spans="1:13" x14ac:dyDescent="0.25">
      <c r="A95" s="9" t="s">
        <v>188</v>
      </c>
      <c r="B95" s="9" t="s">
        <v>8</v>
      </c>
      <c r="C95" s="9" t="s">
        <v>12</v>
      </c>
      <c r="D95">
        <v>33</v>
      </c>
      <c r="E95" s="8">
        <v>44253</v>
      </c>
      <c r="F95" s="7">
        <v>75280</v>
      </c>
      <c r="G95" t="s">
        <v>16</v>
      </c>
      <c r="H95" t="s">
        <v>220</v>
      </c>
      <c r="I95" s="13">
        <f ca="1">(TODAY()-staff[[#This Row],[Date Joined]])/365</f>
        <v>3.0493150684931507</v>
      </c>
      <c r="J95" s="48">
        <f ca="1">ROUNDUP(IF(staff[[#This Row],[Tenure]]&gt;2,3%,2%)*staff[[#This Row],[Salary]],0)</f>
        <v>2259</v>
      </c>
      <c r="K95" s="9">
        <f>_xlfn.XLOOKUP(staff[[#This Row],[Rating]],$P$34:$P$38,$O$34:$O$38)</f>
        <v>3</v>
      </c>
      <c r="L95" s="9"/>
      <c r="M95" s="48"/>
    </row>
    <row r="96" spans="1:13" hidden="1" x14ac:dyDescent="0.25">
      <c r="A96" s="9" t="s">
        <v>41</v>
      </c>
      <c r="B96" s="9" t="s">
        <v>8</v>
      </c>
      <c r="C96" s="9" t="s">
        <v>12</v>
      </c>
      <c r="D96">
        <v>33</v>
      </c>
      <c r="E96" s="8">
        <v>44374</v>
      </c>
      <c r="F96" s="7">
        <v>75480</v>
      </c>
      <c r="G96" t="s">
        <v>42</v>
      </c>
      <c r="H96" t="s">
        <v>218</v>
      </c>
      <c r="I96" s="13">
        <f ca="1">(TODAY()-staff[[#This Row],[Date Joined]])/365</f>
        <v>2.7178082191780821</v>
      </c>
      <c r="J96" s="48">
        <f ca="1">ROUNDUP(IF(staff[[#This Row],[Tenure]]&gt;2,3%,2%)*staff[[#This Row],[Salary]],0)</f>
        <v>2265</v>
      </c>
      <c r="K96" s="9">
        <f>_xlfn.XLOOKUP(staff[[#This Row],[Rating]],$P$34:$P$38,$O$34:$O$38)</f>
        <v>1</v>
      </c>
      <c r="L96" s="9"/>
      <c r="M96" s="48"/>
    </row>
    <row r="97" spans="1:13" x14ac:dyDescent="0.25">
      <c r="A97" s="9" t="s">
        <v>135</v>
      </c>
      <c r="B97" s="9" t="s">
        <v>8</v>
      </c>
      <c r="C97" s="9" t="s">
        <v>12</v>
      </c>
      <c r="D97">
        <v>33</v>
      </c>
      <c r="E97" s="8">
        <v>44313</v>
      </c>
      <c r="F97" s="7">
        <v>75480</v>
      </c>
      <c r="G97" t="s">
        <v>42</v>
      </c>
      <c r="H97" t="s">
        <v>220</v>
      </c>
      <c r="I97" s="13">
        <f ca="1">(TODAY()-staff[[#This Row],[Date Joined]])/365</f>
        <v>2.8849315068493149</v>
      </c>
      <c r="J97" s="48">
        <f ca="1">ROUNDUP(IF(staff[[#This Row],[Tenure]]&gt;2,3%,2%)*staff[[#This Row],[Salary]],0)</f>
        <v>2265</v>
      </c>
      <c r="K97" s="9">
        <f>_xlfn.XLOOKUP(staff[[#This Row],[Rating]],$P$34:$P$38,$O$34:$O$38)</f>
        <v>1</v>
      </c>
      <c r="L97" s="9"/>
      <c r="M97" s="48"/>
    </row>
    <row r="98" spans="1:13" hidden="1" x14ac:dyDescent="0.25">
      <c r="A98" s="9" t="s">
        <v>78</v>
      </c>
      <c r="B98" s="9" t="s">
        <v>15</v>
      </c>
      <c r="C98" s="9" t="s">
        <v>56</v>
      </c>
      <c r="D98">
        <v>21</v>
      </c>
      <c r="E98" s="8">
        <v>44242</v>
      </c>
      <c r="F98" s="7">
        <v>75880</v>
      </c>
      <c r="G98" t="s">
        <v>16</v>
      </c>
      <c r="H98" t="s">
        <v>218</v>
      </c>
      <c r="I98" s="13">
        <f ca="1">(TODAY()-staff[[#This Row],[Date Joined]])/365</f>
        <v>3.0794520547945203</v>
      </c>
      <c r="J98" s="48">
        <f ca="1">ROUNDUP(IF(staff[[#This Row],[Tenure]]&gt;2,3%,2%)*staff[[#This Row],[Salary]],0)</f>
        <v>2277</v>
      </c>
      <c r="K98" s="9">
        <f>_xlfn.XLOOKUP(staff[[#This Row],[Rating]],$P$34:$P$38,$O$34:$O$38)</f>
        <v>3</v>
      </c>
      <c r="L98" s="9"/>
      <c r="M98" s="48"/>
    </row>
    <row r="99" spans="1:13" x14ac:dyDescent="0.25">
      <c r="A99" s="9" t="s">
        <v>170</v>
      </c>
      <c r="B99" s="9" t="s">
        <v>15</v>
      </c>
      <c r="C99" s="9" t="s">
        <v>56</v>
      </c>
      <c r="D99">
        <v>21</v>
      </c>
      <c r="E99" s="8">
        <v>44180</v>
      </c>
      <c r="F99" s="7">
        <v>75880</v>
      </c>
      <c r="G99" t="s">
        <v>16</v>
      </c>
      <c r="H99" t="s">
        <v>220</v>
      </c>
      <c r="I99" s="13">
        <f ca="1">(TODAY()-staff[[#This Row],[Date Joined]])/365</f>
        <v>3.2493150684931509</v>
      </c>
      <c r="J99" s="48">
        <f ca="1">ROUNDUP(IF(staff[[#This Row],[Tenure]]&gt;2,3%,2%)*staff[[#This Row],[Salary]],0)</f>
        <v>2277</v>
      </c>
      <c r="K99" s="9">
        <f>_xlfn.XLOOKUP(staff[[#This Row],[Rating]],$P$34:$P$38,$O$34:$O$38)</f>
        <v>3</v>
      </c>
      <c r="L99" s="9"/>
      <c r="M99" s="48"/>
    </row>
    <row r="100" spans="1:13" hidden="1" x14ac:dyDescent="0.25">
      <c r="A100" s="9" t="s">
        <v>35</v>
      </c>
      <c r="B100" s="9" t="s">
        <v>8</v>
      </c>
      <c r="C100" s="9" t="s">
        <v>21</v>
      </c>
      <c r="D100">
        <v>28</v>
      </c>
      <c r="E100" s="8">
        <v>44185</v>
      </c>
      <c r="F100" s="7">
        <v>75970</v>
      </c>
      <c r="G100" t="s">
        <v>16</v>
      </c>
      <c r="H100" t="s">
        <v>218</v>
      </c>
      <c r="I100" s="13">
        <f ca="1">(TODAY()-staff[[#This Row],[Date Joined]])/365</f>
        <v>3.2356164383561645</v>
      </c>
      <c r="J100" s="48">
        <f ca="1">ROUNDUP(IF(staff[[#This Row],[Tenure]]&gt;2,3%,2%)*staff[[#This Row],[Salary]],0)</f>
        <v>2280</v>
      </c>
      <c r="K100" s="9">
        <f>_xlfn.XLOOKUP(staff[[#This Row],[Rating]],$P$34:$P$38,$O$34:$O$38)</f>
        <v>3</v>
      </c>
      <c r="L100" s="9"/>
      <c r="M100" s="48"/>
    </row>
    <row r="101" spans="1:13" x14ac:dyDescent="0.25">
      <c r="A101" s="9" t="s">
        <v>129</v>
      </c>
      <c r="B101" s="9" t="s">
        <v>8</v>
      </c>
      <c r="C101" s="9" t="s">
        <v>21</v>
      </c>
      <c r="D101">
        <v>28</v>
      </c>
      <c r="E101" s="8">
        <v>44124</v>
      </c>
      <c r="F101" s="7">
        <v>75970</v>
      </c>
      <c r="G101" t="s">
        <v>16</v>
      </c>
      <c r="H101" t="s">
        <v>220</v>
      </c>
      <c r="I101" s="13">
        <f ca="1">(TODAY()-staff[[#This Row],[Date Joined]])/365</f>
        <v>3.4027397260273973</v>
      </c>
      <c r="J101" s="48">
        <f ca="1">ROUNDUP(IF(staff[[#This Row],[Tenure]]&gt;2,3%,2%)*staff[[#This Row],[Salary]],0)</f>
        <v>2280</v>
      </c>
      <c r="K101" s="9">
        <f>_xlfn.XLOOKUP(staff[[#This Row],[Rating]],$P$34:$P$38,$O$34:$O$38)</f>
        <v>3</v>
      </c>
      <c r="L101" s="9"/>
      <c r="M101" s="48"/>
    </row>
    <row r="102" spans="1:13" hidden="1" x14ac:dyDescent="0.25">
      <c r="A102" s="9" t="s">
        <v>62</v>
      </c>
      <c r="B102" s="9" t="s">
        <v>8</v>
      </c>
      <c r="C102" s="9" t="s">
        <v>9</v>
      </c>
      <c r="D102">
        <v>22</v>
      </c>
      <c r="E102" s="8">
        <v>44450</v>
      </c>
      <c r="F102" s="7">
        <v>76900</v>
      </c>
      <c r="G102" t="s">
        <v>13</v>
      </c>
      <c r="H102" t="s">
        <v>218</v>
      </c>
      <c r="I102" s="13">
        <f ca="1">(TODAY()-staff[[#This Row],[Date Joined]])/365</f>
        <v>2.5095890410958903</v>
      </c>
      <c r="J102" s="48">
        <f ca="1">ROUNDUP(IF(staff[[#This Row],[Tenure]]&gt;2,3%,2%)*staff[[#This Row],[Salary]],0)</f>
        <v>2307</v>
      </c>
      <c r="K102" s="9">
        <f>_xlfn.XLOOKUP(staff[[#This Row],[Rating]],$P$34:$P$38,$O$34:$O$38)</f>
        <v>4</v>
      </c>
      <c r="L102" s="9"/>
      <c r="M102" s="48"/>
    </row>
    <row r="103" spans="1:13" x14ac:dyDescent="0.25">
      <c r="A103" s="9" t="s">
        <v>154</v>
      </c>
      <c r="B103" s="9" t="s">
        <v>8</v>
      </c>
      <c r="C103" s="9" t="s">
        <v>9</v>
      </c>
      <c r="D103">
        <v>22</v>
      </c>
      <c r="E103" s="8">
        <v>44388</v>
      </c>
      <c r="F103" s="7">
        <v>76900</v>
      </c>
      <c r="G103" t="s">
        <v>13</v>
      </c>
      <c r="H103" t="s">
        <v>220</v>
      </c>
      <c r="I103" s="13">
        <f ca="1">(TODAY()-staff[[#This Row],[Date Joined]])/365</f>
        <v>2.6794520547945204</v>
      </c>
      <c r="J103" s="48">
        <f ca="1">ROUNDUP(IF(staff[[#This Row],[Tenure]]&gt;2,3%,2%)*staff[[#This Row],[Salary]],0)</f>
        <v>2307</v>
      </c>
      <c r="K103" s="9">
        <f>_xlfn.XLOOKUP(staff[[#This Row],[Rating]],$P$34:$P$38,$O$34:$O$38)</f>
        <v>4</v>
      </c>
      <c r="L103" s="9"/>
      <c r="M103" s="48"/>
    </row>
    <row r="104" spans="1:13" hidden="1" x14ac:dyDescent="0.25">
      <c r="A104" s="9" t="s">
        <v>72</v>
      </c>
      <c r="B104" s="9" t="s">
        <v>8</v>
      </c>
      <c r="C104" s="9" t="s">
        <v>9</v>
      </c>
      <c r="D104">
        <v>36</v>
      </c>
      <c r="E104" s="8">
        <v>44529</v>
      </c>
      <c r="F104" s="7">
        <v>78390</v>
      </c>
      <c r="G104" t="s">
        <v>16</v>
      </c>
      <c r="H104" t="s">
        <v>218</v>
      </c>
      <c r="I104" s="13">
        <f ca="1">(TODAY()-staff[[#This Row],[Date Joined]])/365</f>
        <v>2.2931506849315069</v>
      </c>
      <c r="J104" s="48">
        <f ca="1">ROUNDUP(IF(staff[[#This Row],[Tenure]]&gt;2,3%,2%)*staff[[#This Row],[Salary]],0)</f>
        <v>2352</v>
      </c>
      <c r="K104" s="9">
        <f>_xlfn.XLOOKUP(staff[[#This Row],[Rating]],$P$34:$P$38,$O$34:$O$38)</f>
        <v>3</v>
      </c>
      <c r="L104" s="9"/>
      <c r="M104" s="48"/>
    </row>
    <row r="105" spans="1:13" x14ac:dyDescent="0.25">
      <c r="A105" s="9" t="s">
        <v>164</v>
      </c>
      <c r="B105" s="9" t="s">
        <v>8</v>
      </c>
      <c r="C105" s="9" t="s">
        <v>9</v>
      </c>
      <c r="D105">
        <v>36</v>
      </c>
      <c r="E105" s="8">
        <v>44468</v>
      </c>
      <c r="F105" s="7">
        <v>78390</v>
      </c>
      <c r="G105" t="s">
        <v>16</v>
      </c>
      <c r="H105" t="s">
        <v>220</v>
      </c>
      <c r="I105" s="13">
        <f ca="1">(TODAY()-staff[[#This Row],[Date Joined]])/365</f>
        <v>2.4602739726027396</v>
      </c>
      <c r="J105" s="48">
        <f ca="1">ROUNDUP(IF(staff[[#This Row],[Tenure]]&gt;2,3%,2%)*staff[[#This Row],[Salary]],0)</f>
        <v>2352</v>
      </c>
      <c r="K105" s="9">
        <f>_xlfn.XLOOKUP(staff[[#This Row],[Rating]],$P$34:$P$38,$O$34:$O$38)</f>
        <v>3</v>
      </c>
      <c r="L105" s="9"/>
      <c r="M105" s="48"/>
    </row>
    <row r="106" spans="1:13" hidden="1" x14ac:dyDescent="0.25">
      <c r="A106" s="9" t="s">
        <v>48</v>
      </c>
      <c r="B106" s="9" t="s">
        <v>8</v>
      </c>
      <c r="C106" s="9" t="s">
        <v>19</v>
      </c>
      <c r="D106">
        <v>36</v>
      </c>
      <c r="E106" s="8">
        <v>44494</v>
      </c>
      <c r="F106" s="7">
        <v>78540</v>
      </c>
      <c r="G106" t="s">
        <v>16</v>
      </c>
      <c r="H106" t="s">
        <v>218</v>
      </c>
      <c r="I106" s="13">
        <f ca="1">(TODAY()-staff[[#This Row],[Date Joined]])/365</f>
        <v>2.3890410958904109</v>
      </c>
      <c r="J106" s="48">
        <f ca="1">ROUNDUP(IF(staff[[#This Row],[Tenure]]&gt;2,3%,2%)*staff[[#This Row],[Salary]],0)</f>
        <v>2357</v>
      </c>
      <c r="K106" s="9">
        <f>_xlfn.XLOOKUP(staff[[#This Row],[Rating]],$P$34:$P$38,$O$34:$O$38)</f>
        <v>3</v>
      </c>
      <c r="L106" s="9"/>
      <c r="M106" s="48"/>
    </row>
    <row r="107" spans="1:13" x14ac:dyDescent="0.25">
      <c r="A107" s="9" t="s">
        <v>141</v>
      </c>
      <c r="B107" s="9" t="s">
        <v>8</v>
      </c>
      <c r="C107" s="9" t="s">
        <v>19</v>
      </c>
      <c r="D107">
        <v>36</v>
      </c>
      <c r="E107" s="8">
        <v>44433</v>
      </c>
      <c r="F107" s="7">
        <v>78540</v>
      </c>
      <c r="G107" t="s">
        <v>16</v>
      </c>
      <c r="H107" t="s">
        <v>220</v>
      </c>
      <c r="I107" s="13">
        <f ca="1">(TODAY()-staff[[#This Row],[Date Joined]])/365</f>
        <v>2.5561643835616437</v>
      </c>
      <c r="J107" s="48">
        <f ca="1">ROUNDUP(IF(staff[[#This Row],[Tenure]]&gt;2,3%,2%)*staff[[#This Row],[Salary]],0)</f>
        <v>2357</v>
      </c>
      <c r="K107" s="9">
        <f>_xlfn.XLOOKUP(staff[[#This Row],[Rating]],$P$34:$P$38,$O$34:$O$38)</f>
        <v>3</v>
      </c>
      <c r="L107" s="9"/>
      <c r="M107" s="48"/>
    </row>
    <row r="108" spans="1:13" hidden="1" x14ac:dyDescent="0.25">
      <c r="A108" s="9" t="s">
        <v>104</v>
      </c>
      <c r="B108" s="9" t="s">
        <v>15</v>
      </c>
      <c r="C108" s="9" t="s">
        <v>9</v>
      </c>
      <c r="D108">
        <v>20</v>
      </c>
      <c r="E108" s="8">
        <v>44744</v>
      </c>
      <c r="F108" s="7">
        <v>79570</v>
      </c>
      <c r="G108" t="s">
        <v>16</v>
      </c>
      <c r="H108" t="s">
        <v>218</v>
      </c>
      <c r="I108" s="13">
        <f ca="1">(TODAY()-staff[[#This Row],[Date Joined]])/365</f>
        <v>1.704109589041096</v>
      </c>
      <c r="J108" s="48">
        <f ca="1">ROUNDUP(IF(staff[[#This Row],[Tenure]]&gt;2,3%,2%)*staff[[#This Row],[Salary]],0)</f>
        <v>1592</v>
      </c>
      <c r="K108" s="9">
        <f>_xlfn.XLOOKUP(staff[[#This Row],[Rating]],$P$34:$P$38,$O$34:$O$38)</f>
        <v>3</v>
      </c>
      <c r="L108" s="9"/>
      <c r="M108" s="48"/>
    </row>
    <row r="109" spans="1:13" x14ac:dyDescent="0.25">
      <c r="A109" s="9" t="s">
        <v>197</v>
      </c>
      <c r="B109" s="9" t="s">
        <v>15</v>
      </c>
      <c r="C109" s="9" t="s">
        <v>9</v>
      </c>
      <c r="D109">
        <v>20</v>
      </c>
      <c r="E109" s="8">
        <v>44683</v>
      </c>
      <c r="F109" s="7">
        <v>79570</v>
      </c>
      <c r="G109" t="s">
        <v>16</v>
      </c>
      <c r="H109" t="s">
        <v>220</v>
      </c>
      <c r="I109" s="13">
        <f ca="1">(TODAY()-staff[[#This Row],[Date Joined]])/365</f>
        <v>1.8712328767123287</v>
      </c>
      <c r="J109" s="48">
        <f ca="1">ROUNDUP(IF(staff[[#This Row],[Tenure]]&gt;2,3%,2%)*staff[[#This Row],[Salary]],0)</f>
        <v>1592</v>
      </c>
      <c r="K109" s="9">
        <f>_xlfn.XLOOKUP(staff[[#This Row],[Rating]],$P$34:$P$38,$O$34:$O$38)</f>
        <v>3</v>
      </c>
      <c r="L109" s="9"/>
      <c r="M109" s="48"/>
    </row>
    <row r="110" spans="1:13" hidden="1" x14ac:dyDescent="0.25">
      <c r="A110" s="9" t="s">
        <v>39</v>
      </c>
      <c r="B110" s="9" t="s">
        <v>8</v>
      </c>
      <c r="C110" s="9" t="s">
        <v>12</v>
      </c>
      <c r="D110">
        <v>25</v>
      </c>
      <c r="E110" s="8">
        <v>44694</v>
      </c>
      <c r="F110" s="7">
        <v>80700</v>
      </c>
      <c r="G110" t="s">
        <v>13</v>
      </c>
      <c r="H110" t="s">
        <v>218</v>
      </c>
      <c r="I110" s="13">
        <f ca="1">(TODAY()-staff[[#This Row],[Date Joined]])/365</f>
        <v>1.8410958904109589</v>
      </c>
      <c r="J110" s="48">
        <f ca="1">ROUNDUP(IF(staff[[#This Row],[Tenure]]&gt;2,3%,2%)*staff[[#This Row],[Salary]],0)</f>
        <v>1614</v>
      </c>
      <c r="K110" s="9">
        <f>_xlfn.XLOOKUP(staff[[#This Row],[Rating]],$P$34:$P$38,$O$34:$O$38)</f>
        <v>4</v>
      </c>
      <c r="L110" s="9"/>
      <c r="M110" s="48"/>
    </row>
    <row r="111" spans="1:13" x14ac:dyDescent="0.25">
      <c r="A111" s="9" t="s">
        <v>133</v>
      </c>
      <c r="B111" s="9" t="s">
        <v>8</v>
      </c>
      <c r="C111" s="9" t="s">
        <v>12</v>
      </c>
      <c r="D111">
        <v>25</v>
      </c>
      <c r="E111" s="8">
        <v>44633</v>
      </c>
      <c r="F111" s="7">
        <v>80700</v>
      </c>
      <c r="G111" t="s">
        <v>13</v>
      </c>
      <c r="H111" t="s">
        <v>220</v>
      </c>
      <c r="I111" s="13">
        <f ca="1">(TODAY()-staff[[#This Row],[Date Joined]])/365</f>
        <v>2.0082191780821916</v>
      </c>
      <c r="J111" s="48">
        <f ca="1">ROUNDUP(IF(staff[[#This Row],[Tenure]]&gt;2,3%,2%)*staff[[#This Row],[Salary]],0)</f>
        <v>2421</v>
      </c>
      <c r="K111" s="9">
        <f>_xlfn.XLOOKUP(staff[[#This Row],[Rating]],$P$34:$P$38,$O$34:$O$38)</f>
        <v>4</v>
      </c>
      <c r="L111" s="9"/>
      <c r="M111" s="48"/>
    </row>
    <row r="112" spans="1:13" hidden="1" x14ac:dyDescent="0.25">
      <c r="A112" s="9" t="s">
        <v>92</v>
      </c>
      <c r="B112" s="9" t="s">
        <v>8</v>
      </c>
      <c r="C112" s="9" t="s">
        <v>12</v>
      </c>
      <c r="D112">
        <v>27</v>
      </c>
      <c r="E112" s="8">
        <v>44686</v>
      </c>
      <c r="F112" s="7">
        <v>83750</v>
      </c>
      <c r="G112" t="s">
        <v>16</v>
      </c>
      <c r="H112" t="s">
        <v>218</v>
      </c>
      <c r="I112" s="13">
        <f ca="1">(TODAY()-staff[[#This Row],[Date Joined]])/365</f>
        <v>1.8630136986301369</v>
      </c>
      <c r="J112" s="48">
        <f ca="1">ROUNDUP(IF(staff[[#This Row],[Tenure]]&gt;2,3%,2%)*staff[[#This Row],[Salary]],0)</f>
        <v>1675</v>
      </c>
      <c r="K112" s="9">
        <f>_xlfn.XLOOKUP(staff[[#This Row],[Rating]],$P$34:$P$38,$O$34:$O$38)</f>
        <v>3</v>
      </c>
      <c r="L112" s="9"/>
      <c r="M112" s="48"/>
    </row>
    <row r="113" spans="1:13" x14ac:dyDescent="0.25">
      <c r="A113" s="9" t="s">
        <v>185</v>
      </c>
      <c r="B113" s="9" t="s">
        <v>8</v>
      </c>
      <c r="C113" s="9" t="s">
        <v>12</v>
      </c>
      <c r="D113">
        <v>27</v>
      </c>
      <c r="E113" s="8">
        <v>44625</v>
      </c>
      <c r="F113" s="7">
        <v>83750</v>
      </c>
      <c r="G113" t="s">
        <v>16</v>
      </c>
      <c r="H113" t="s">
        <v>220</v>
      </c>
      <c r="I113" s="13">
        <f ca="1">(TODAY()-staff[[#This Row],[Date Joined]])/365</f>
        <v>2.0301369863013701</v>
      </c>
      <c r="J113" s="48">
        <f ca="1">ROUNDUP(IF(staff[[#This Row],[Tenure]]&gt;2,3%,2%)*staff[[#This Row],[Salary]],0)</f>
        <v>2513</v>
      </c>
      <c r="K113" s="9">
        <f>_xlfn.XLOOKUP(staff[[#This Row],[Rating]],$P$34:$P$38,$O$34:$O$38)</f>
        <v>3</v>
      </c>
      <c r="L113" s="9"/>
      <c r="M113" s="48"/>
    </row>
    <row r="114" spans="1:13" hidden="1" x14ac:dyDescent="0.25">
      <c r="A114" s="9" t="s">
        <v>28</v>
      </c>
      <c r="B114" s="9" t="s">
        <v>8</v>
      </c>
      <c r="C114" s="9" t="s">
        <v>21</v>
      </c>
      <c r="D114">
        <v>34</v>
      </c>
      <c r="E114" s="8">
        <v>44459</v>
      </c>
      <c r="F114" s="7">
        <v>85000</v>
      </c>
      <c r="G114" t="s">
        <v>16</v>
      </c>
      <c r="H114" t="s">
        <v>218</v>
      </c>
      <c r="I114" s="13">
        <f ca="1">(TODAY()-staff[[#This Row],[Date Joined]])/365</f>
        <v>2.484931506849315</v>
      </c>
      <c r="J114" s="48">
        <f ca="1">ROUNDUP(IF(staff[[#This Row],[Tenure]]&gt;2,3%,2%)*staff[[#This Row],[Salary]],0)</f>
        <v>2550</v>
      </c>
      <c r="K114" s="9">
        <f>_xlfn.XLOOKUP(staff[[#This Row],[Rating]],$P$34:$P$38,$O$34:$O$38)</f>
        <v>3</v>
      </c>
      <c r="L114" s="9"/>
      <c r="M114" s="48"/>
    </row>
    <row r="115" spans="1:13" x14ac:dyDescent="0.25">
      <c r="A115" s="9" t="s">
        <v>122</v>
      </c>
      <c r="B115" s="9" t="s">
        <v>8</v>
      </c>
      <c r="C115" s="9" t="s">
        <v>21</v>
      </c>
      <c r="D115">
        <v>34</v>
      </c>
      <c r="E115" s="8">
        <v>44397</v>
      </c>
      <c r="F115" s="7">
        <v>85000</v>
      </c>
      <c r="G115" t="s">
        <v>16</v>
      </c>
      <c r="H115" t="s">
        <v>220</v>
      </c>
      <c r="I115" s="13">
        <f ca="1">(TODAY()-staff[[#This Row],[Date Joined]])/365</f>
        <v>2.6547945205479451</v>
      </c>
      <c r="J115" s="48">
        <f ca="1">ROUNDUP(IF(staff[[#This Row],[Tenure]]&gt;2,3%,2%)*staff[[#This Row],[Salary]],0)</f>
        <v>2550</v>
      </c>
      <c r="K115" s="9">
        <f>_xlfn.XLOOKUP(staff[[#This Row],[Rating]],$P$34:$P$38,$O$34:$O$38)</f>
        <v>3</v>
      </c>
      <c r="L115" s="9"/>
      <c r="M115" s="48"/>
    </row>
    <row r="116" spans="1:13" hidden="1" x14ac:dyDescent="0.25">
      <c r="A116" s="9" t="s">
        <v>88</v>
      </c>
      <c r="B116" s="9" t="s">
        <v>8</v>
      </c>
      <c r="C116" s="9" t="s">
        <v>21</v>
      </c>
      <c r="D116">
        <v>33</v>
      </c>
      <c r="E116" s="8">
        <v>44809</v>
      </c>
      <c r="F116" s="7">
        <v>86570</v>
      </c>
      <c r="G116" t="s">
        <v>16</v>
      </c>
      <c r="H116" t="s">
        <v>218</v>
      </c>
      <c r="I116" s="13">
        <f ca="1">(TODAY()-staff[[#This Row],[Date Joined]])/365</f>
        <v>1.526027397260274</v>
      </c>
      <c r="J116" s="48">
        <f ca="1">ROUNDUP(IF(staff[[#This Row],[Tenure]]&gt;2,3%,2%)*staff[[#This Row],[Salary]],0)</f>
        <v>1732</v>
      </c>
      <c r="K116" s="9">
        <f>_xlfn.XLOOKUP(staff[[#This Row],[Rating]],$P$34:$P$38,$O$34:$O$38)</f>
        <v>3</v>
      </c>
      <c r="L116" s="9"/>
      <c r="M116" s="48"/>
    </row>
    <row r="117" spans="1:13" x14ac:dyDescent="0.25">
      <c r="A117" s="9" t="s">
        <v>181</v>
      </c>
      <c r="B117" s="9" t="s">
        <v>8</v>
      </c>
      <c r="C117" s="9" t="s">
        <v>21</v>
      </c>
      <c r="D117">
        <v>33</v>
      </c>
      <c r="E117" s="8">
        <v>44747</v>
      </c>
      <c r="F117" s="7">
        <v>86570</v>
      </c>
      <c r="G117" t="s">
        <v>16</v>
      </c>
      <c r="H117" t="s">
        <v>220</v>
      </c>
      <c r="I117" s="13">
        <f ca="1">(TODAY()-staff[[#This Row],[Date Joined]])/365</f>
        <v>1.6958904109589041</v>
      </c>
      <c r="J117" s="48">
        <f ca="1">ROUNDUP(IF(staff[[#This Row],[Tenure]]&gt;2,3%,2%)*staff[[#This Row],[Salary]],0)</f>
        <v>1732</v>
      </c>
      <c r="K117" s="9">
        <f>_xlfn.XLOOKUP(staff[[#This Row],[Rating]],$P$34:$P$38,$O$34:$O$38)</f>
        <v>3</v>
      </c>
      <c r="L117" s="9"/>
      <c r="M117" s="48"/>
    </row>
    <row r="118" spans="1:13" hidden="1" x14ac:dyDescent="0.25">
      <c r="A118" s="9" t="s">
        <v>74</v>
      </c>
      <c r="B118" s="9" t="s">
        <v>8</v>
      </c>
      <c r="C118" s="9" t="s">
        <v>12</v>
      </c>
      <c r="D118">
        <v>40</v>
      </c>
      <c r="E118" s="8">
        <v>44337</v>
      </c>
      <c r="F118" s="7">
        <v>87620</v>
      </c>
      <c r="G118" t="s">
        <v>16</v>
      </c>
      <c r="H118" t="s">
        <v>218</v>
      </c>
      <c r="I118" s="13">
        <f ca="1">(TODAY()-staff[[#This Row],[Date Joined]])/365</f>
        <v>2.8191780821917809</v>
      </c>
      <c r="J118" s="48">
        <f ca="1">ROUNDUP(IF(staff[[#This Row],[Tenure]]&gt;2,3%,2%)*staff[[#This Row],[Salary]],0)</f>
        <v>2629</v>
      </c>
      <c r="K118" s="9">
        <f>_xlfn.XLOOKUP(staff[[#This Row],[Rating]],$P$34:$P$38,$O$34:$O$38)</f>
        <v>3</v>
      </c>
      <c r="L118" s="9"/>
      <c r="M118" s="48"/>
    </row>
    <row r="119" spans="1:13" x14ac:dyDescent="0.25">
      <c r="A119" s="9" t="s">
        <v>166</v>
      </c>
      <c r="B119" s="9" t="s">
        <v>8</v>
      </c>
      <c r="C119" s="9" t="s">
        <v>12</v>
      </c>
      <c r="D119">
        <v>40</v>
      </c>
      <c r="E119" s="8">
        <v>44276</v>
      </c>
      <c r="F119" s="7">
        <v>87620</v>
      </c>
      <c r="G119" t="s">
        <v>16</v>
      </c>
      <c r="H119" t="s">
        <v>220</v>
      </c>
      <c r="I119" s="13">
        <f ca="1">(TODAY()-staff[[#This Row],[Date Joined]])/365</f>
        <v>2.9863013698630136</v>
      </c>
      <c r="J119" s="48">
        <f ca="1">ROUNDUP(IF(staff[[#This Row],[Tenure]]&gt;2,3%,2%)*staff[[#This Row],[Salary]],0)</f>
        <v>2629</v>
      </c>
      <c r="K119" s="9">
        <f>_xlfn.XLOOKUP(staff[[#This Row],[Rating]],$P$34:$P$38,$O$34:$O$38)</f>
        <v>3</v>
      </c>
      <c r="L119" s="9"/>
      <c r="M119" s="48"/>
    </row>
    <row r="120" spans="1:13" hidden="1" x14ac:dyDescent="0.25">
      <c r="A120" s="9" t="s">
        <v>23</v>
      </c>
      <c r="B120" s="9" t="s">
        <v>15</v>
      </c>
      <c r="C120" s="9" t="s">
        <v>12</v>
      </c>
      <c r="D120">
        <v>37</v>
      </c>
      <c r="E120" s="8">
        <v>44338</v>
      </c>
      <c r="F120" s="7">
        <v>88050</v>
      </c>
      <c r="G120" t="s">
        <v>24</v>
      </c>
      <c r="H120" t="s">
        <v>218</v>
      </c>
      <c r="I120" s="13">
        <f ca="1">(TODAY()-staff[[#This Row],[Date Joined]])/365</f>
        <v>2.8164383561643835</v>
      </c>
      <c r="J120" s="48">
        <f ca="1">ROUNDUP(IF(staff[[#This Row],[Tenure]]&gt;2,3%,2%)*staff[[#This Row],[Salary]],0)</f>
        <v>2642</v>
      </c>
      <c r="K120" s="9">
        <f>_xlfn.XLOOKUP(staff[[#This Row],[Rating]],$P$34:$P$38,$O$34:$O$38)</f>
        <v>2</v>
      </c>
      <c r="L120" s="9"/>
      <c r="M120" s="48"/>
    </row>
    <row r="121" spans="1:13" x14ac:dyDescent="0.25">
      <c r="A121" s="9" t="s">
        <v>118</v>
      </c>
      <c r="B121" s="9" t="s">
        <v>15</v>
      </c>
      <c r="C121" s="9" t="s">
        <v>12</v>
      </c>
      <c r="D121">
        <v>37</v>
      </c>
      <c r="E121" s="8">
        <v>44277</v>
      </c>
      <c r="F121" s="7">
        <v>88050</v>
      </c>
      <c r="G121" t="s">
        <v>24</v>
      </c>
      <c r="H121" t="s">
        <v>220</v>
      </c>
      <c r="I121" s="13">
        <f ca="1">(TODAY()-staff[[#This Row],[Date Joined]])/365</f>
        <v>2.9835616438356163</v>
      </c>
      <c r="J121" s="48">
        <f ca="1">ROUNDUP(IF(staff[[#This Row],[Tenure]]&gt;2,3%,2%)*staff[[#This Row],[Salary]],0)</f>
        <v>2642</v>
      </c>
      <c r="K121" s="9">
        <f>_xlfn.XLOOKUP(staff[[#This Row],[Rating]],$P$34:$P$38,$O$34:$O$38)</f>
        <v>2</v>
      </c>
      <c r="L121" s="9"/>
      <c r="M121" s="48"/>
    </row>
    <row r="122" spans="1:13" hidden="1" x14ac:dyDescent="0.25">
      <c r="A122" s="9" t="s">
        <v>11</v>
      </c>
      <c r="B122" s="9" t="s">
        <v>219</v>
      </c>
      <c r="C122" s="9" t="s">
        <v>12</v>
      </c>
      <c r="D122">
        <v>26</v>
      </c>
      <c r="E122" s="8">
        <v>44271</v>
      </c>
      <c r="F122" s="7">
        <v>90700</v>
      </c>
      <c r="G122" t="s">
        <v>13</v>
      </c>
      <c r="H122" t="s">
        <v>218</v>
      </c>
      <c r="I122" s="13">
        <f ca="1">(TODAY()-staff[[#This Row],[Date Joined]])/365</f>
        <v>3</v>
      </c>
      <c r="J122" s="48">
        <f ca="1">ROUNDUP(IF(staff[[#This Row],[Tenure]]&gt;2,3%,2%)*staff[[#This Row],[Salary]],0)</f>
        <v>2721</v>
      </c>
      <c r="K122" s="9">
        <f>_xlfn.XLOOKUP(staff[[#This Row],[Rating]],$P$34:$P$38,$O$34:$O$38)</f>
        <v>4</v>
      </c>
      <c r="L122" s="9"/>
      <c r="M122" s="48"/>
    </row>
    <row r="123" spans="1:13" x14ac:dyDescent="0.25">
      <c r="A123" s="9" t="s">
        <v>112</v>
      </c>
      <c r="B123" s="9" t="s">
        <v>219</v>
      </c>
      <c r="C123" s="9" t="s">
        <v>12</v>
      </c>
      <c r="D123">
        <v>27</v>
      </c>
      <c r="E123" s="8">
        <v>44212</v>
      </c>
      <c r="F123" s="7">
        <v>90700</v>
      </c>
      <c r="G123" t="s">
        <v>13</v>
      </c>
      <c r="H123" t="s">
        <v>220</v>
      </c>
      <c r="I123" s="13">
        <f ca="1">(TODAY()-staff[[#This Row],[Date Joined]])/365</f>
        <v>3.1616438356164385</v>
      </c>
      <c r="J123" s="48">
        <f ca="1">ROUNDUP(IF(staff[[#This Row],[Tenure]]&gt;2,3%,2%)*staff[[#This Row],[Salary]],0)</f>
        <v>2721</v>
      </c>
      <c r="K123" s="9">
        <f>_xlfn.XLOOKUP(staff[[#This Row],[Rating]],$P$34:$P$38,$O$34:$O$38)</f>
        <v>4</v>
      </c>
      <c r="L123" s="9"/>
      <c r="M123" s="48"/>
    </row>
    <row r="124" spans="1:13" hidden="1" x14ac:dyDescent="0.25">
      <c r="A124" s="9" t="s">
        <v>52</v>
      </c>
      <c r="B124" s="9" t="s">
        <v>219</v>
      </c>
      <c r="C124" s="9" t="s">
        <v>12</v>
      </c>
      <c r="D124">
        <v>32</v>
      </c>
      <c r="E124" s="8">
        <v>44774</v>
      </c>
      <c r="F124" s="7">
        <v>91310</v>
      </c>
      <c r="G124" t="s">
        <v>16</v>
      </c>
      <c r="H124" t="s">
        <v>218</v>
      </c>
      <c r="I124" s="13">
        <f ca="1">(TODAY()-staff[[#This Row],[Date Joined]])/365</f>
        <v>1.6219178082191781</v>
      </c>
      <c r="J124" s="48">
        <f ca="1">ROUNDUP(IF(staff[[#This Row],[Tenure]]&gt;2,3%,2%)*staff[[#This Row],[Salary]],0)</f>
        <v>1827</v>
      </c>
      <c r="K124" s="9">
        <f>_xlfn.XLOOKUP(staff[[#This Row],[Rating]],$P$34:$P$38,$O$34:$O$38)</f>
        <v>3</v>
      </c>
      <c r="L124" s="9"/>
      <c r="M124" s="48"/>
    </row>
    <row r="125" spans="1:13" x14ac:dyDescent="0.25">
      <c r="A125" s="9" t="s">
        <v>145</v>
      </c>
      <c r="B125" s="9" t="s">
        <v>219</v>
      </c>
      <c r="C125" s="9" t="s">
        <v>12</v>
      </c>
      <c r="D125">
        <v>32</v>
      </c>
      <c r="E125" s="8">
        <v>44713</v>
      </c>
      <c r="F125" s="7">
        <v>91310</v>
      </c>
      <c r="G125" t="s">
        <v>16</v>
      </c>
      <c r="H125" t="s">
        <v>220</v>
      </c>
      <c r="I125" s="13">
        <f ca="1">(TODAY()-staff[[#This Row],[Date Joined]])/365</f>
        <v>1.789041095890411</v>
      </c>
      <c r="J125" s="48">
        <f ca="1">ROUNDUP(IF(staff[[#This Row],[Tenure]]&gt;2,3%,2%)*staff[[#This Row],[Salary]],0)</f>
        <v>1827</v>
      </c>
      <c r="K125" s="9">
        <f>_xlfn.XLOOKUP(staff[[#This Row],[Rating]],$P$34:$P$38,$O$34:$O$38)</f>
        <v>3</v>
      </c>
      <c r="L125" s="9"/>
      <c r="M125" s="48"/>
    </row>
    <row r="126" spans="1:13" hidden="1" x14ac:dyDescent="0.25">
      <c r="A126" s="9" t="s">
        <v>68</v>
      </c>
      <c r="B126" s="9" t="s">
        <v>15</v>
      </c>
      <c r="C126" s="9" t="s">
        <v>21</v>
      </c>
      <c r="D126">
        <v>27</v>
      </c>
      <c r="E126" s="8">
        <v>44236</v>
      </c>
      <c r="F126" s="7">
        <v>91650</v>
      </c>
      <c r="G126" t="s">
        <v>13</v>
      </c>
      <c r="H126" t="s">
        <v>218</v>
      </c>
      <c r="I126" s="13">
        <f ca="1">(TODAY()-staff[[#This Row],[Date Joined]])/365</f>
        <v>3.095890410958904</v>
      </c>
      <c r="J126" s="48">
        <f ca="1">ROUNDUP(IF(staff[[#This Row],[Tenure]]&gt;2,3%,2%)*staff[[#This Row],[Salary]],0)</f>
        <v>2750</v>
      </c>
      <c r="K126" s="9">
        <f>_xlfn.XLOOKUP(staff[[#This Row],[Rating]],$P$34:$P$38,$O$34:$O$38)</f>
        <v>4</v>
      </c>
      <c r="L126" s="9"/>
      <c r="M126" s="48"/>
    </row>
    <row r="127" spans="1:13" x14ac:dyDescent="0.25">
      <c r="A127" s="9" t="s">
        <v>160</v>
      </c>
      <c r="B127" s="9" t="s">
        <v>15</v>
      </c>
      <c r="C127" s="9" t="s">
        <v>21</v>
      </c>
      <c r="D127">
        <v>27</v>
      </c>
      <c r="E127" s="8">
        <v>44174</v>
      </c>
      <c r="F127" s="7">
        <v>91650</v>
      </c>
      <c r="G127" t="s">
        <v>13</v>
      </c>
      <c r="H127" t="s">
        <v>220</v>
      </c>
      <c r="I127" s="13">
        <f ca="1">(TODAY()-staff[[#This Row],[Date Joined]])/365</f>
        <v>3.2657534246575342</v>
      </c>
      <c r="J127" s="48">
        <f ca="1">ROUNDUP(IF(staff[[#This Row],[Tenure]]&gt;2,3%,2%)*staff[[#This Row],[Salary]],0)</f>
        <v>2750</v>
      </c>
      <c r="K127" s="9">
        <f>_xlfn.XLOOKUP(staff[[#This Row],[Rating]],$P$34:$P$38,$O$34:$O$38)</f>
        <v>4</v>
      </c>
      <c r="L127" s="9"/>
      <c r="M127" s="48"/>
    </row>
    <row r="128" spans="1:13" hidden="1" x14ac:dyDescent="0.25">
      <c r="A128" s="9" t="s">
        <v>102</v>
      </c>
      <c r="B128" s="9" t="s">
        <v>8</v>
      </c>
      <c r="C128" s="9" t="s">
        <v>21</v>
      </c>
      <c r="D128">
        <v>34</v>
      </c>
      <c r="E128" s="8">
        <v>44445</v>
      </c>
      <c r="F128" s="7">
        <v>92450</v>
      </c>
      <c r="G128" t="s">
        <v>16</v>
      </c>
      <c r="H128" t="s">
        <v>218</v>
      </c>
      <c r="I128" s="13">
        <f ca="1">(TODAY()-staff[[#This Row],[Date Joined]])/365</f>
        <v>2.5232876712328767</v>
      </c>
      <c r="J128" s="48">
        <f ca="1">ROUNDUP(IF(staff[[#This Row],[Tenure]]&gt;2,3%,2%)*staff[[#This Row],[Salary]],0)</f>
        <v>2774</v>
      </c>
      <c r="K128" s="9">
        <f>_xlfn.XLOOKUP(staff[[#This Row],[Rating]],$P$34:$P$38,$O$34:$O$38)</f>
        <v>3</v>
      </c>
      <c r="L128" s="9"/>
      <c r="M128" s="48"/>
    </row>
    <row r="129" spans="1:13" x14ac:dyDescent="0.25">
      <c r="A129" s="9" t="s">
        <v>195</v>
      </c>
      <c r="B129" s="9" t="s">
        <v>8</v>
      </c>
      <c r="C129" s="9" t="s">
        <v>21</v>
      </c>
      <c r="D129">
        <v>34</v>
      </c>
      <c r="E129" s="8">
        <v>44383</v>
      </c>
      <c r="F129" s="7">
        <v>92450</v>
      </c>
      <c r="G129" t="s">
        <v>16</v>
      </c>
      <c r="H129" t="s">
        <v>220</v>
      </c>
      <c r="I129" s="13">
        <f ca="1">(TODAY()-staff[[#This Row],[Date Joined]])/365</f>
        <v>2.6931506849315068</v>
      </c>
      <c r="J129" s="48">
        <f ca="1">ROUNDUP(IF(staff[[#This Row],[Tenure]]&gt;2,3%,2%)*staff[[#This Row],[Salary]],0)</f>
        <v>2774</v>
      </c>
      <c r="K129" s="9">
        <f>_xlfn.XLOOKUP(staff[[#This Row],[Rating]],$P$34:$P$38,$O$34:$O$38)</f>
        <v>3</v>
      </c>
      <c r="L129" s="9"/>
      <c r="M129" s="48"/>
    </row>
    <row r="130" spans="1:13" hidden="1" x14ac:dyDescent="0.25">
      <c r="A130" s="9" t="s">
        <v>77</v>
      </c>
      <c r="B130" s="9" t="s">
        <v>8</v>
      </c>
      <c r="C130" s="9" t="s">
        <v>19</v>
      </c>
      <c r="D130">
        <v>25</v>
      </c>
      <c r="E130" s="8">
        <v>44205</v>
      </c>
      <c r="F130" s="7">
        <v>92700</v>
      </c>
      <c r="G130" t="s">
        <v>16</v>
      </c>
      <c r="H130" t="s">
        <v>218</v>
      </c>
      <c r="I130" s="13">
        <f ca="1">(TODAY()-staff[[#This Row],[Date Joined]])/365</f>
        <v>3.1808219178082191</v>
      </c>
      <c r="J130" s="48">
        <f ca="1">ROUNDUP(IF(staff[[#This Row],[Tenure]]&gt;2,3%,2%)*staff[[#This Row],[Salary]],0)</f>
        <v>2781</v>
      </c>
      <c r="K130" s="9">
        <f>_xlfn.XLOOKUP(staff[[#This Row],[Rating]],$P$34:$P$38,$O$34:$O$38)</f>
        <v>3</v>
      </c>
      <c r="L130" s="9"/>
      <c r="M130" s="48"/>
    </row>
    <row r="131" spans="1:13" x14ac:dyDescent="0.25">
      <c r="A131" s="9" t="s">
        <v>169</v>
      </c>
      <c r="B131" s="9" t="s">
        <v>8</v>
      </c>
      <c r="C131" s="9" t="s">
        <v>19</v>
      </c>
      <c r="D131">
        <v>25</v>
      </c>
      <c r="E131" s="8">
        <v>44144</v>
      </c>
      <c r="F131" s="7">
        <v>92700</v>
      </c>
      <c r="G131" t="s">
        <v>16</v>
      </c>
      <c r="H131" t="s">
        <v>220</v>
      </c>
      <c r="I131" s="13">
        <f ca="1">(TODAY()-staff[[#This Row],[Date Joined]])/365</f>
        <v>3.3479452054794518</v>
      </c>
      <c r="J131" s="48">
        <f ca="1">ROUNDUP(IF(staff[[#This Row],[Tenure]]&gt;2,3%,2%)*staff[[#This Row],[Salary]],0)</f>
        <v>2781</v>
      </c>
      <c r="K131" s="9">
        <f>_xlfn.XLOOKUP(staff[[#This Row],[Rating]],$P$34:$P$38,$O$34:$O$38)</f>
        <v>3</v>
      </c>
      <c r="L131" s="9"/>
      <c r="M131" s="48"/>
    </row>
    <row r="132" spans="1:13" hidden="1" x14ac:dyDescent="0.25">
      <c r="A132" s="9" t="s">
        <v>71</v>
      </c>
      <c r="B132" s="9" t="s">
        <v>8</v>
      </c>
      <c r="C132" s="9" t="s">
        <v>12</v>
      </c>
      <c r="D132">
        <v>33</v>
      </c>
      <c r="E132" s="8">
        <v>44190</v>
      </c>
      <c r="F132" s="7">
        <v>96140</v>
      </c>
      <c r="G132" t="s">
        <v>16</v>
      </c>
      <c r="H132" t="s">
        <v>218</v>
      </c>
      <c r="I132" s="13">
        <f ca="1">(TODAY()-staff[[#This Row],[Date Joined]])/365</f>
        <v>3.2219178082191782</v>
      </c>
      <c r="J132" s="48">
        <f ca="1">ROUNDUP(IF(staff[[#This Row],[Tenure]]&gt;2,3%,2%)*staff[[#This Row],[Salary]],0)</f>
        <v>2885</v>
      </c>
      <c r="K132" s="9">
        <f>_xlfn.XLOOKUP(staff[[#This Row],[Rating]],$P$34:$P$38,$O$34:$O$38)</f>
        <v>3</v>
      </c>
      <c r="L132" s="9"/>
      <c r="M132" s="48"/>
    </row>
    <row r="133" spans="1:13" x14ac:dyDescent="0.25">
      <c r="A133" s="9" t="s">
        <v>163</v>
      </c>
      <c r="B133" s="9" t="s">
        <v>8</v>
      </c>
      <c r="C133" s="9" t="s">
        <v>12</v>
      </c>
      <c r="D133">
        <v>33</v>
      </c>
      <c r="E133" s="8">
        <v>44129</v>
      </c>
      <c r="F133" s="7">
        <v>96140</v>
      </c>
      <c r="G133" t="s">
        <v>16</v>
      </c>
      <c r="H133" t="s">
        <v>220</v>
      </c>
      <c r="I133" s="13">
        <f ca="1">(TODAY()-staff[[#This Row],[Date Joined]])/365</f>
        <v>3.3890410958904109</v>
      </c>
      <c r="J133" s="48">
        <f ca="1">ROUNDUP(IF(staff[[#This Row],[Tenure]]&gt;2,3%,2%)*staff[[#This Row],[Salary]],0)</f>
        <v>2885</v>
      </c>
      <c r="K133" s="9">
        <f>_xlfn.XLOOKUP(staff[[#This Row],[Rating]],$P$34:$P$38,$O$34:$O$38)</f>
        <v>3</v>
      </c>
      <c r="L133" s="9"/>
      <c r="M133" s="48"/>
    </row>
    <row r="134" spans="1:13" hidden="1" x14ac:dyDescent="0.25">
      <c r="A134" s="9" t="s">
        <v>85</v>
      </c>
      <c r="B134" s="9" t="s">
        <v>15</v>
      </c>
      <c r="C134" s="9" t="s">
        <v>21</v>
      </c>
      <c r="D134">
        <v>30</v>
      </c>
      <c r="E134" s="8">
        <v>44606</v>
      </c>
      <c r="F134" s="7">
        <v>96800</v>
      </c>
      <c r="G134" t="s">
        <v>16</v>
      </c>
      <c r="H134" t="s">
        <v>218</v>
      </c>
      <c r="I134" s="13">
        <f ca="1">(TODAY()-staff[[#This Row],[Date Joined]])/365</f>
        <v>2.0821917808219177</v>
      </c>
      <c r="J134" s="48">
        <f ca="1">ROUNDUP(IF(staff[[#This Row],[Tenure]]&gt;2,3%,2%)*staff[[#This Row],[Salary]],0)</f>
        <v>2904</v>
      </c>
      <c r="K134" s="9">
        <f>_xlfn.XLOOKUP(staff[[#This Row],[Rating]],$P$34:$P$38,$O$34:$O$38)</f>
        <v>3</v>
      </c>
      <c r="L134" s="9"/>
      <c r="M134" s="48"/>
    </row>
    <row r="135" spans="1:13" x14ac:dyDescent="0.25">
      <c r="A135" s="9" t="s">
        <v>177</v>
      </c>
      <c r="B135" s="9" t="s">
        <v>15</v>
      </c>
      <c r="C135" s="9" t="s">
        <v>21</v>
      </c>
      <c r="D135">
        <v>30</v>
      </c>
      <c r="E135" s="8">
        <v>44544</v>
      </c>
      <c r="F135" s="7">
        <v>96800</v>
      </c>
      <c r="G135" t="s">
        <v>16</v>
      </c>
      <c r="H135" t="s">
        <v>220</v>
      </c>
      <c r="I135" s="13">
        <f ca="1">(TODAY()-staff[[#This Row],[Date Joined]])/365</f>
        <v>2.2520547945205478</v>
      </c>
      <c r="J135" s="48">
        <f ca="1">ROUNDUP(IF(staff[[#This Row],[Tenure]]&gt;2,3%,2%)*staff[[#This Row],[Salary]],0)</f>
        <v>2904</v>
      </c>
      <c r="K135" s="9">
        <f>_xlfn.XLOOKUP(staff[[#This Row],[Rating]],$P$34:$P$38,$O$34:$O$38)</f>
        <v>3</v>
      </c>
      <c r="L135" s="9"/>
      <c r="M135" s="48"/>
    </row>
    <row r="136" spans="1:13" hidden="1" x14ac:dyDescent="0.25">
      <c r="A136" s="9" t="s">
        <v>105</v>
      </c>
      <c r="B136" s="9" t="s">
        <v>15</v>
      </c>
      <c r="C136" s="9" t="s">
        <v>9</v>
      </c>
      <c r="D136">
        <v>40</v>
      </c>
      <c r="E136" s="8">
        <v>44263</v>
      </c>
      <c r="F136" s="7">
        <v>99750</v>
      </c>
      <c r="G136" t="s">
        <v>16</v>
      </c>
      <c r="H136" t="s">
        <v>218</v>
      </c>
      <c r="I136" s="13">
        <f ca="1">(TODAY()-staff[[#This Row],[Date Joined]])/365</f>
        <v>3.021917808219178</v>
      </c>
      <c r="J136" s="48">
        <f ca="1">ROUNDUP(IF(staff[[#This Row],[Tenure]]&gt;2,3%,2%)*staff[[#This Row],[Salary]],0)</f>
        <v>2993</v>
      </c>
      <c r="K136" s="9">
        <f>_xlfn.XLOOKUP(staff[[#This Row],[Rating]],$P$34:$P$38,$O$34:$O$38)</f>
        <v>3</v>
      </c>
      <c r="L136" s="9"/>
      <c r="M136" s="48"/>
    </row>
    <row r="137" spans="1:13" x14ac:dyDescent="0.25">
      <c r="A137" s="9" t="s">
        <v>198</v>
      </c>
      <c r="B137" s="9" t="s">
        <v>15</v>
      </c>
      <c r="C137" s="9" t="s">
        <v>9</v>
      </c>
      <c r="D137">
        <v>40</v>
      </c>
      <c r="E137" s="8">
        <v>44204</v>
      </c>
      <c r="F137" s="7">
        <v>99750</v>
      </c>
      <c r="G137" t="s">
        <v>16</v>
      </c>
      <c r="H137" t="s">
        <v>220</v>
      </c>
      <c r="I137" s="13">
        <f ca="1">(TODAY()-staff[[#This Row],[Date Joined]])/365</f>
        <v>3.1835616438356165</v>
      </c>
      <c r="J137" s="48">
        <f ca="1">ROUNDUP(IF(staff[[#This Row],[Tenure]]&gt;2,3%,2%)*staff[[#This Row],[Salary]],0)</f>
        <v>2993</v>
      </c>
      <c r="K137" s="9">
        <f>_xlfn.XLOOKUP(staff[[#This Row],[Rating]],$P$34:$P$38,$O$34:$O$38)</f>
        <v>3</v>
      </c>
      <c r="L137" s="9"/>
      <c r="M137" s="48"/>
    </row>
    <row r="138" spans="1:13" hidden="1" x14ac:dyDescent="0.25">
      <c r="A138" s="9" t="s">
        <v>107</v>
      </c>
      <c r="B138" s="9" t="s">
        <v>8</v>
      </c>
      <c r="C138" s="9" t="s">
        <v>9</v>
      </c>
      <c r="D138">
        <v>28</v>
      </c>
      <c r="E138" s="8">
        <v>44630</v>
      </c>
      <c r="F138" s="7">
        <v>99970</v>
      </c>
      <c r="G138" t="s">
        <v>16</v>
      </c>
      <c r="H138" t="s">
        <v>218</v>
      </c>
      <c r="I138" s="13">
        <f ca="1">(TODAY()-staff[[#This Row],[Date Joined]])/365</f>
        <v>2.0164383561643837</v>
      </c>
      <c r="J138" s="48">
        <f ca="1">ROUNDUP(IF(staff[[#This Row],[Tenure]]&gt;2,3%,2%)*staff[[#This Row],[Salary]],0)</f>
        <v>3000</v>
      </c>
      <c r="K138" s="9">
        <f>_xlfn.XLOOKUP(staff[[#This Row],[Rating]],$P$34:$P$38,$O$34:$O$38)</f>
        <v>3</v>
      </c>
      <c r="L138" s="9"/>
      <c r="M138" s="48"/>
    </row>
    <row r="139" spans="1:13" x14ac:dyDescent="0.25">
      <c r="A139" s="9" t="s">
        <v>200</v>
      </c>
      <c r="B139" s="9" t="s">
        <v>8</v>
      </c>
      <c r="C139" s="9" t="s">
        <v>9</v>
      </c>
      <c r="D139">
        <v>28</v>
      </c>
      <c r="E139" s="8">
        <v>44571</v>
      </c>
      <c r="F139" s="7">
        <v>99970</v>
      </c>
      <c r="G139" t="s">
        <v>16</v>
      </c>
      <c r="H139" t="s">
        <v>220</v>
      </c>
      <c r="I139" s="13">
        <f ca="1">(TODAY()-staff[[#This Row],[Date Joined]])/365</f>
        <v>2.1780821917808217</v>
      </c>
      <c r="J139" s="48">
        <f ca="1">ROUNDUP(IF(staff[[#This Row],[Tenure]]&gt;2,3%,2%)*staff[[#This Row],[Salary]],0)</f>
        <v>3000</v>
      </c>
      <c r="K139" s="9">
        <f>_xlfn.XLOOKUP(staff[[#This Row],[Rating]],$P$34:$P$38,$O$34:$O$38)</f>
        <v>3</v>
      </c>
      <c r="L139" s="9"/>
      <c r="M139" s="48"/>
    </row>
    <row r="140" spans="1:13" hidden="1" x14ac:dyDescent="0.25">
      <c r="A140" s="9" t="s">
        <v>103</v>
      </c>
      <c r="B140" s="9" t="s">
        <v>15</v>
      </c>
      <c r="C140" s="9" t="s">
        <v>12</v>
      </c>
      <c r="D140">
        <v>24</v>
      </c>
      <c r="E140" s="8">
        <v>44686</v>
      </c>
      <c r="F140" s="7">
        <v>100420</v>
      </c>
      <c r="G140" t="s">
        <v>16</v>
      </c>
      <c r="H140" t="s">
        <v>218</v>
      </c>
      <c r="I140" s="13">
        <f ca="1">(TODAY()-staff[[#This Row],[Date Joined]])/365</f>
        <v>1.8630136986301369</v>
      </c>
      <c r="J140" s="48">
        <f ca="1">ROUNDUP(IF(staff[[#This Row],[Tenure]]&gt;2,3%,2%)*staff[[#This Row],[Salary]],0)</f>
        <v>2009</v>
      </c>
      <c r="K140" s="9">
        <f>_xlfn.XLOOKUP(staff[[#This Row],[Rating]],$P$34:$P$38,$O$34:$O$38)</f>
        <v>3</v>
      </c>
      <c r="L140" s="9"/>
      <c r="M140" s="48"/>
    </row>
    <row r="141" spans="1:13" x14ac:dyDescent="0.25">
      <c r="A141" s="9" t="s">
        <v>196</v>
      </c>
      <c r="B141" s="9" t="s">
        <v>15</v>
      </c>
      <c r="C141" s="9" t="s">
        <v>12</v>
      </c>
      <c r="D141">
        <v>24</v>
      </c>
      <c r="E141" s="8">
        <v>44625</v>
      </c>
      <c r="F141" s="7">
        <v>100420</v>
      </c>
      <c r="G141" t="s">
        <v>16</v>
      </c>
      <c r="H141" t="s">
        <v>220</v>
      </c>
      <c r="I141" s="13">
        <f ca="1">(TODAY()-staff[[#This Row],[Date Joined]])/365</f>
        <v>2.0301369863013701</v>
      </c>
      <c r="J141" s="48">
        <f ca="1">ROUNDUP(IF(staff[[#This Row],[Tenure]]&gt;2,3%,2%)*staff[[#This Row],[Salary]],0)</f>
        <v>3013</v>
      </c>
      <c r="K141" s="9">
        <f>_xlfn.XLOOKUP(staff[[#This Row],[Rating]],$P$34:$P$38,$O$34:$O$38)</f>
        <v>3</v>
      </c>
      <c r="L141" s="9"/>
      <c r="M141" s="48"/>
    </row>
    <row r="142" spans="1:13" hidden="1" x14ac:dyDescent="0.25">
      <c r="A142" s="9" t="s">
        <v>50</v>
      </c>
      <c r="B142" s="9" t="s">
        <v>15</v>
      </c>
      <c r="C142" s="9" t="s">
        <v>9</v>
      </c>
      <c r="D142">
        <v>31</v>
      </c>
      <c r="E142" s="8">
        <v>44724</v>
      </c>
      <c r="F142" s="7">
        <v>103550</v>
      </c>
      <c r="G142" t="s">
        <v>16</v>
      </c>
      <c r="H142" t="s">
        <v>218</v>
      </c>
      <c r="I142" s="13">
        <f ca="1">(TODAY()-staff[[#This Row],[Date Joined]])/365</f>
        <v>1.7589041095890412</v>
      </c>
      <c r="J142" s="48">
        <f ca="1">ROUNDUP(IF(staff[[#This Row],[Tenure]]&gt;2,3%,2%)*staff[[#This Row],[Salary]],0)</f>
        <v>2071</v>
      </c>
      <c r="K142" s="9">
        <f>_xlfn.XLOOKUP(staff[[#This Row],[Rating]],$P$34:$P$38,$O$34:$O$38)</f>
        <v>3</v>
      </c>
      <c r="L142" s="9"/>
      <c r="M142" s="48"/>
    </row>
    <row r="143" spans="1:13" x14ac:dyDescent="0.25">
      <c r="A143" s="9" t="s">
        <v>143</v>
      </c>
      <c r="B143" s="9" t="s">
        <v>15</v>
      </c>
      <c r="C143" s="9" t="s">
        <v>9</v>
      </c>
      <c r="D143">
        <v>31</v>
      </c>
      <c r="E143" s="8">
        <v>44663</v>
      </c>
      <c r="F143" s="7">
        <v>103550</v>
      </c>
      <c r="G143" t="s">
        <v>16</v>
      </c>
      <c r="H143" t="s">
        <v>220</v>
      </c>
      <c r="I143" s="13">
        <f ca="1">(TODAY()-staff[[#This Row],[Date Joined]])/365</f>
        <v>1.9260273972602739</v>
      </c>
      <c r="J143" s="48">
        <f ca="1">ROUNDUP(IF(staff[[#This Row],[Tenure]]&gt;2,3%,2%)*staff[[#This Row],[Salary]],0)</f>
        <v>2071</v>
      </c>
      <c r="K143" s="9">
        <f>_xlfn.XLOOKUP(staff[[#This Row],[Rating]],$P$34:$P$38,$O$34:$O$38)</f>
        <v>3</v>
      </c>
      <c r="L143" s="9"/>
      <c r="M143" s="48"/>
    </row>
    <row r="144" spans="1:13" hidden="1" x14ac:dyDescent="0.25">
      <c r="A144" s="9" t="s">
        <v>96</v>
      </c>
      <c r="B144" s="9" t="s">
        <v>8</v>
      </c>
      <c r="C144" s="9" t="s">
        <v>9</v>
      </c>
      <c r="D144">
        <v>28</v>
      </c>
      <c r="E144" s="8">
        <v>44649</v>
      </c>
      <c r="F144" s="7">
        <v>104120</v>
      </c>
      <c r="G144" t="s">
        <v>16</v>
      </c>
      <c r="H144" t="s">
        <v>218</v>
      </c>
      <c r="I144" s="13">
        <f ca="1">(TODAY()-staff[[#This Row],[Date Joined]])/365</f>
        <v>1.9643835616438357</v>
      </c>
      <c r="J144" s="48">
        <f ca="1">ROUNDUP(IF(staff[[#This Row],[Tenure]]&gt;2,3%,2%)*staff[[#This Row],[Salary]],0)</f>
        <v>2083</v>
      </c>
      <c r="K144" s="9">
        <f>_xlfn.XLOOKUP(staff[[#This Row],[Rating]],$P$34:$P$38,$O$34:$O$38)</f>
        <v>3</v>
      </c>
      <c r="L144" s="9"/>
      <c r="M144" s="48"/>
    </row>
    <row r="145" spans="1:13" x14ac:dyDescent="0.25">
      <c r="A145" s="9" t="s">
        <v>189</v>
      </c>
      <c r="B145" s="9" t="s">
        <v>8</v>
      </c>
      <c r="C145" s="9" t="s">
        <v>9</v>
      </c>
      <c r="D145">
        <v>28</v>
      </c>
      <c r="E145" s="8">
        <v>44590</v>
      </c>
      <c r="F145" s="7">
        <v>104120</v>
      </c>
      <c r="G145" t="s">
        <v>16</v>
      </c>
      <c r="H145" t="s">
        <v>220</v>
      </c>
      <c r="I145" s="13">
        <f ca="1">(TODAY()-staff[[#This Row],[Date Joined]])/365</f>
        <v>2.1260273972602741</v>
      </c>
      <c r="J145" s="48">
        <f ca="1">ROUNDUP(IF(staff[[#This Row],[Tenure]]&gt;2,3%,2%)*staff[[#This Row],[Salary]],0)</f>
        <v>3124</v>
      </c>
      <c r="K145" s="9">
        <f>_xlfn.XLOOKUP(staff[[#This Row],[Rating]],$P$34:$P$38,$O$34:$O$38)</f>
        <v>3</v>
      </c>
      <c r="L145" s="9"/>
      <c r="M145" s="48"/>
    </row>
    <row r="146" spans="1:13" hidden="1" x14ac:dyDescent="0.25">
      <c r="A146" s="9" t="s">
        <v>101</v>
      </c>
      <c r="B146" s="9" t="s">
        <v>8</v>
      </c>
      <c r="C146" s="9" t="s">
        <v>12</v>
      </c>
      <c r="D146">
        <v>40</v>
      </c>
      <c r="E146" s="8">
        <v>44381</v>
      </c>
      <c r="F146" s="7">
        <v>104410</v>
      </c>
      <c r="G146" t="s">
        <v>16</v>
      </c>
      <c r="H146" t="s">
        <v>218</v>
      </c>
      <c r="I146" s="13">
        <f ca="1">(TODAY()-staff[[#This Row],[Date Joined]])/365</f>
        <v>2.6986301369863015</v>
      </c>
      <c r="J146" s="48">
        <f ca="1">ROUNDUP(IF(staff[[#This Row],[Tenure]]&gt;2,3%,2%)*staff[[#This Row],[Salary]],0)</f>
        <v>3133</v>
      </c>
      <c r="K146" s="9">
        <f>_xlfn.XLOOKUP(staff[[#This Row],[Rating]],$P$34:$P$38,$O$34:$O$38)</f>
        <v>3</v>
      </c>
      <c r="L146" s="9"/>
      <c r="M146" s="48"/>
    </row>
    <row r="147" spans="1:13" x14ac:dyDescent="0.25">
      <c r="A147" s="9" t="s">
        <v>194</v>
      </c>
      <c r="B147" s="9" t="s">
        <v>8</v>
      </c>
      <c r="C147" s="9" t="s">
        <v>12</v>
      </c>
      <c r="D147">
        <v>40</v>
      </c>
      <c r="E147" s="8">
        <v>44320</v>
      </c>
      <c r="F147" s="7">
        <v>104410</v>
      </c>
      <c r="G147" t="s">
        <v>16</v>
      </c>
      <c r="H147" t="s">
        <v>220</v>
      </c>
      <c r="I147" s="13">
        <f ca="1">(TODAY()-staff[[#This Row],[Date Joined]])/365</f>
        <v>2.8657534246575342</v>
      </c>
      <c r="J147" s="48">
        <f ca="1">ROUNDUP(IF(staff[[#This Row],[Tenure]]&gt;2,3%,2%)*staff[[#This Row],[Salary]],0)</f>
        <v>3133</v>
      </c>
      <c r="K147" s="9">
        <f>_xlfn.XLOOKUP(staff[[#This Row],[Rating]],$P$34:$P$38,$O$34:$O$38)</f>
        <v>3</v>
      </c>
      <c r="L147" s="9"/>
      <c r="M147" s="48"/>
    </row>
    <row r="148" spans="1:13" hidden="1" x14ac:dyDescent="0.25">
      <c r="A148" s="9" t="s">
        <v>43</v>
      </c>
      <c r="B148" s="9" t="s">
        <v>8</v>
      </c>
      <c r="C148" s="9" t="s">
        <v>9</v>
      </c>
      <c r="D148">
        <v>28</v>
      </c>
      <c r="E148" s="8">
        <v>44486</v>
      </c>
      <c r="F148" s="7">
        <v>104770</v>
      </c>
      <c r="G148" t="s">
        <v>16</v>
      </c>
      <c r="H148" t="s">
        <v>218</v>
      </c>
      <c r="I148" s="13">
        <f ca="1">(TODAY()-staff[[#This Row],[Date Joined]])/365</f>
        <v>2.4109589041095889</v>
      </c>
      <c r="J148" s="48">
        <f ca="1">ROUNDUP(IF(staff[[#This Row],[Tenure]]&gt;2,3%,2%)*staff[[#This Row],[Salary]],0)</f>
        <v>3144</v>
      </c>
      <c r="K148" s="9">
        <f>_xlfn.XLOOKUP(staff[[#This Row],[Rating]],$P$34:$P$38,$O$34:$O$38)</f>
        <v>3</v>
      </c>
      <c r="L148" s="9"/>
      <c r="M148" s="48"/>
    </row>
    <row r="149" spans="1:13" x14ac:dyDescent="0.25">
      <c r="A149" s="9" t="s">
        <v>136</v>
      </c>
      <c r="B149" s="9" t="s">
        <v>8</v>
      </c>
      <c r="C149" s="9" t="s">
        <v>9</v>
      </c>
      <c r="D149">
        <v>28</v>
      </c>
      <c r="E149" s="8">
        <v>44425</v>
      </c>
      <c r="F149" s="7">
        <v>104770</v>
      </c>
      <c r="G149" t="s">
        <v>16</v>
      </c>
      <c r="H149" t="s">
        <v>220</v>
      </c>
      <c r="I149" s="13">
        <f ca="1">(TODAY()-staff[[#This Row],[Date Joined]])/365</f>
        <v>2.5780821917808221</v>
      </c>
      <c r="J149" s="48">
        <f ca="1">ROUNDUP(IF(staff[[#This Row],[Tenure]]&gt;2,3%,2%)*staff[[#This Row],[Salary]],0)</f>
        <v>3144</v>
      </c>
      <c r="K149" s="9">
        <f>_xlfn.XLOOKUP(staff[[#This Row],[Rating]],$P$34:$P$38,$O$34:$O$38)</f>
        <v>3</v>
      </c>
      <c r="L149" s="9"/>
      <c r="M149" s="48"/>
    </row>
    <row r="150" spans="1:13" hidden="1" x14ac:dyDescent="0.25">
      <c r="A150" s="9" t="s">
        <v>69</v>
      </c>
      <c r="B150" s="9" t="s">
        <v>15</v>
      </c>
      <c r="C150" s="9" t="s">
        <v>9</v>
      </c>
      <c r="D150">
        <v>23</v>
      </c>
      <c r="E150" s="8">
        <v>44440</v>
      </c>
      <c r="F150" s="7">
        <v>106460</v>
      </c>
      <c r="G150" t="s">
        <v>16</v>
      </c>
      <c r="H150" t="s">
        <v>218</v>
      </c>
      <c r="I150" s="13">
        <f ca="1">(TODAY()-staff[[#This Row],[Date Joined]])/365</f>
        <v>2.536986301369863</v>
      </c>
      <c r="J150" s="48">
        <f ca="1">ROUNDUP(IF(staff[[#This Row],[Tenure]]&gt;2,3%,2%)*staff[[#This Row],[Salary]],0)</f>
        <v>3194</v>
      </c>
      <c r="K150" s="9">
        <f>_xlfn.XLOOKUP(staff[[#This Row],[Rating]],$P$34:$P$38,$O$34:$O$38)</f>
        <v>3</v>
      </c>
      <c r="L150" s="9"/>
      <c r="M150" s="48"/>
    </row>
    <row r="151" spans="1:13" x14ac:dyDescent="0.25">
      <c r="A151" s="9" t="s">
        <v>161</v>
      </c>
      <c r="B151" s="9" t="s">
        <v>15</v>
      </c>
      <c r="C151" s="9" t="s">
        <v>9</v>
      </c>
      <c r="D151">
        <v>23</v>
      </c>
      <c r="E151" s="8">
        <v>44378</v>
      </c>
      <c r="F151" s="7">
        <v>106460</v>
      </c>
      <c r="G151" t="s">
        <v>16</v>
      </c>
      <c r="H151" t="s">
        <v>220</v>
      </c>
      <c r="I151" s="13">
        <f ca="1">(TODAY()-staff[[#This Row],[Date Joined]])/365</f>
        <v>2.7068493150684931</v>
      </c>
      <c r="J151" s="48">
        <f ca="1">ROUNDUP(IF(staff[[#This Row],[Tenure]]&gt;2,3%,2%)*staff[[#This Row],[Salary]],0)</f>
        <v>3194</v>
      </c>
      <c r="K151" s="9">
        <f>_xlfn.XLOOKUP(staff[[#This Row],[Rating]],$P$34:$P$38,$O$34:$O$38)</f>
        <v>3</v>
      </c>
      <c r="L151" s="9"/>
      <c r="M151" s="48"/>
    </row>
    <row r="152" spans="1:13" hidden="1" x14ac:dyDescent="0.25">
      <c r="A152" s="9" t="s">
        <v>22</v>
      </c>
      <c r="B152" s="9" t="s">
        <v>15</v>
      </c>
      <c r="C152" s="9" t="s">
        <v>12</v>
      </c>
      <c r="D152">
        <v>20</v>
      </c>
      <c r="E152" s="8">
        <v>44459</v>
      </c>
      <c r="F152" s="7">
        <v>107700</v>
      </c>
      <c r="G152" t="s">
        <v>16</v>
      </c>
      <c r="H152" t="s">
        <v>218</v>
      </c>
      <c r="I152" s="13">
        <f ca="1">(TODAY()-staff[[#This Row],[Date Joined]])/365</f>
        <v>2.484931506849315</v>
      </c>
      <c r="J152" s="48">
        <f ca="1">ROUNDUP(IF(staff[[#This Row],[Tenure]]&gt;2,3%,2%)*staff[[#This Row],[Salary]],0)</f>
        <v>3231</v>
      </c>
      <c r="K152" s="9">
        <f>_xlfn.XLOOKUP(staff[[#This Row],[Rating]],$P$34:$P$38,$O$34:$O$38)</f>
        <v>3</v>
      </c>
      <c r="L152" s="9"/>
      <c r="M152" s="48"/>
    </row>
    <row r="153" spans="1:13" x14ac:dyDescent="0.25">
      <c r="A153" s="9" t="s">
        <v>117</v>
      </c>
      <c r="B153" s="9" t="s">
        <v>15</v>
      </c>
      <c r="C153" s="9" t="s">
        <v>12</v>
      </c>
      <c r="D153">
        <v>20</v>
      </c>
      <c r="E153" s="8">
        <v>44397</v>
      </c>
      <c r="F153" s="7">
        <v>107700</v>
      </c>
      <c r="G153" t="s">
        <v>16</v>
      </c>
      <c r="H153" t="s">
        <v>220</v>
      </c>
      <c r="I153" s="13">
        <f ca="1">(TODAY()-staff[[#This Row],[Date Joined]])/365</f>
        <v>2.6547945205479451</v>
      </c>
      <c r="J153" s="48">
        <f ca="1">ROUNDUP(IF(staff[[#This Row],[Tenure]]&gt;2,3%,2%)*staff[[#This Row],[Salary]],0)</f>
        <v>3231</v>
      </c>
      <c r="K153" s="9">
        <f>_xlfn.XLOOKUP(staff[[#This Row],[Rating]],$P$34:$P$38,$O$34:$O$38)</f>
        <v>3</v>
      </c>
      <c r="L153" s="9"/>
      <c r="M153" s="48"/>
    </row>
    <row r="154" spans="1:13" hidden="1" x14ac:dyDescent="0.25">
      <c r="A154" s="9" t="s">
        <v>33</v>
      </c>
      <c r="B154" s="9" t="s">
        <v>8</v>
      </c>
      <c r="C154" s="9" t="s">
        <v>19</v>
      </c>
      <c r="D154">
        <v>38</v>
      </c>
      <c r="E154" s="8">
        <v>44377</v>
      </c>
      <c r="F154" s="7">
        <v>109160</v>
      </c>
      <c r="G154" t="s">
        <v>10</v>
      </c>
      <c r="H154" t="s">
        <v>218</v>
      </c>
      <c r="I154" s="13">
        <f ca="1">(TODAY()-staff[[#This Row],[Date Joined]])/365</f>
        <v>2.7095890410958905</v>
      </c>
      <c r="J154" s="48">
        <f ca="1">ROUNDUP(IF(staff[[#This Row],[Tenure]]&gt;2,3%,2%)*staff[[#This Row],[Salary]],0)</f>
        <v>3275</v>
      </c>
      <c r="K154" s="9">
        <f>_xlfn.XLOOKUP(staff[[#This Row],[Rating]],$P$34:$P$38,$O$34:$O$38)</f>
        <v>5</v>
      </c>
      <c r="L154" s="9"/>
      <c r="M154" s="48"/>
    </row>
    <row r="155" spans="1:13" x14ac:dyDescent="0.25">
      <c r="A155" s="9" t="s">
        <v>127</v>
      </c>
      <c r="B155" s="9" t="s">
        <v>8</v>
      </c>
      <c r="C155" s="9" t="s">
        <v>19</v>
      </c>
      <c r="D155">
        <v>38</v>
      </c>
      <c r="E155" s="8">
        <v>44316</v>
      </c>
      <c r="F155" s="7">
        <v>109160</v>
      </c>
      <c r="G155" t="s">
        <v>10</v>
      </c>
      <c r="H155" t="s">
        <v>220</v>
      </c>
      <c r="I155" s="13">
        <f ca="1">(TODAY()-staff[[#This Row],[Date Joined]])/365</f>
        <v>2.8767123287671232</v>
      </c>
      <c r="J155" s="48">
        <f ca="1">ROUNDUP(IF(staff[[#This Row],[Tenure]]&gt;2,3%,2%)*staff[[#This Row],[Salary]],0)</f>
        <v>3275</v>
      </c>
      <c r="K155" s="9">
        <f>_xlfn.XLOOKUP(staff[[#This Row],[Rating]],$P$34:$P$38,$O$34:$O$38)</f>
        <v>5</v>
      </c>
      <c r="L155" s="9"/>
      <c r="M155" s="48"/>
    </row>
    <row r="156" spans="1:13" hidden="1" x14ac:dyDescent="0.25">
      <c r="A156" s="9" t="s">
        <v>34</v>
      </c>
      <c r="B156" s="9" t="s">
        <v>15</v>
      </c>
      <c r="C156" s="9" t="s">
        <v>9</v>
      </c>
      <c r="D156">
        <v>25</v>
      </c>
      <c r="E156" s="8">
        <v>44726</v>
      </c>
      <c r="F156" s="7">
        <v>109190</v>
      </c>
      <c r="G156" t="s">
        <v>13</v>
      </c>
      <c r="H156" t="s">
        <v>218</v>
      </c>
      <c r="I156" s="13">
        <f ca="1">(TODAY()-staff[[#This Row],[Date Joined]])/365</f>
        <v>1.7534246575342465</v>
      </c>
      <c r="J156" s="48">
        <f ca="1">ROUNDUP(IF(staff[[#This Row],[Tenure]]&gt;2,3%,2%)*staff[[#This Row],[Salary]],0)</f>
        <v>2184</v>
      </c>
      <c r="K156" s="9">
        <f>_xlfn.XLOOKUP(staff[[#This Row],[Rating]],$P$34:$P$38,$O$34:$O$38)</f>
        <v>4</v>
      </c>
      <c r="L156" s="9"/>
      <c r="M156" s="48"/>
    </row>
    <row r="157" spans="1:13" x14ac:dyDescent="0.25">
      <c r="A157" s="9" t="s">
        <v>128</v>
      </c>
      <c r="B157" s="9" t="s">
        <v>15</v>
      </c>
      <c r="C157" s="9" t="s">
        <v>9</v>
      </c>
      <c r="D157">
        <v>25</v>
      </c>
      <c r="E157" s="8">
        <v>44665</v>
      </c>
      <c r="F157" s="7">
        <v>109190</v>
      </c>
      <c r="G157" t="s">
        <v>13</v>
      </c>
      <c r="H157" t="s">
        <v>220</v>
      </c>
      <c r="I157" s="13">
        <f ca="1">(TODAY()-staff[[#This Row],[Date Joined]])/365</f>
        <v>1.9205479452054794</v>
      </c>
      <c r="J157" s="48">
        <f ca="1">ROUNDUP(IF(staff[[#This Row],[Tenure]]&gt;2,3%,2%)*staff[[#This Row],[Salary]],0)</f>
        <v>2184</v>
      </c>
      <c r="K157" s="9">
        <f>_xlfn.XLOOKUP(staff[[#This Row],[Rating]],$P$34:$P$38,$O$34:$O$38)</f>
        <v>4</v>
      </c>
      <c r="L157" s="9"/>
      <c r="M157" s="48"/>
    </row>
    <row r="158" spans="1:13" hidden="1" x14ac:dyDescent="0.25">
      <c r="A158" s="9" t="s">
        <v>87</v>
      </c>
      <c r="B158" s="9" t="s">
        <v>15</v>
      </c>
      <c r="C158" s="9" t="s">
        <v>12</v>
      </c>
      <c r="D158">
        <v>29</v>
      </c>
      <c r="E158" s="8">
        <v>44180</v>
      </c>
      <c r="F158" s="7">
        <v>112110</v>
      </c>
      <c r="G158" t="s">
        <v>24</v>
      </c>
      <c r="H158" t="s">
        <v>218</v>
      </c>
      <c r="I158" s="13">
        <f ca="1">(TODAY()-staff[[#This Row],[Date Joined]])/365</f>
        <v>3.2493150684931509</v>
      </c>
      <c r="J158" s="48">
        <f ca="1">ROUNDUP(IF(staff[[#This Row],[Tenure]]&gt;2,3%,2%)*staff[[#This Row],[Salary]],0)</f>
        <v>3364</v>
      </c>
      <c r="K158" s="9">
        <f>_xlfn.XLOOKUP(staff[[#This Row],[Rating]],$P$34:$P$38,$O$34:$O$38)</f>
        <v>2</v>
      </c>
      <c r="L158" s="9"/>
      <c r="M158" s="48"/>
    </row>
    <row r="159" spans="1:13" x14ac:dyDescent="0.25">
      <c r="A159" s="9" t="s">
        <v>180</v>
      </c>
      <c r="B159" s="9" t="s">
        <v>15</v>
      </c>
      <c r="C159" s="9" t="s">
        <v>12</v>
      </c>
      <c r="D159">
        <v>29</v>
      </c>
      <c r="E159" s="8">
        <v>44119</v>
      </c>
      <c r="F159" s="7">
        <v>112110</v>
      </c>
      <c r="G159" t="s">
        <v>24</v>
      </c>
      <c r="H159" t="s">
        <v>220</v>
      </c>
      <c r="I159" s="13">
        <f ca="1">(TODAY()-staff[[#This Row],[Date Joined]])/365</f>
        <v>3.4164383561643836</v>
      </c>
      <c r="J159" s="48">
        <f ca="1">ROUNDUP(IF(staff[[#This Row],[Tenure]]&gt;2,3%,2%)*staff[[#This Row],[Salary]],0)</f>
        <v>3364</v>
      </c>
      <c r="K159" s="9">
        <f>_xlfn.XLOOKUP(staff[[#This Row],[Rating]],$P$34:$P$38,$O$34:$O$38)</f>
        <v>2</v>
      </c>
      <c r="L159" s="9"/>
      <c r="M159" s="48"/>
    </row>
    <row r="160" spans="1:13" hidden="1" x14ac:dyDescent="0.25">
      <c r="A160" s="9" t="s">
        <v>81</v>
      </c>
      <c r="B160" s="9" t="s">
        <v>8</v>
      </c>
      <c r="C160" s="9" t="s">
        <v>9</v>
      </c>
      <c r="D160">
        <v>30</v>
      </c>
      <c r="E160" s="8">
        <v>44861</v>
      </c>
      <c r="F160" s="7">
        <v>112570</v>
      </c>
      <c r="G160" t="s">
        <v>16</v>
      </c>
      <c r="H160" t="s">
        <v>218</v>
      </c>
      <c r="I160" s="13">
        <f ca="1">(TODAY()-staff[[#This Row],[Date Joined]])/365</f>
        <v>1.3835616438356164</v>
      </c>
      <c r="J160" s="48">
        <f ca="1">ROUNDUP(IF(staff[[#This Row],[Tenure]]&gt;2,3%,2%)*staff[[#This Row],[Salary]],0)</f>
        <v>2252</v>
      </c>
      <c r="K160" s="9">
        <f>_xlfn.XLOOKUP(staff[[#This Row],[Rating]],$P$34:$P$38,$O$34:$O$38)</f>
        <v>3</v>
      </c>
      <c r="L160" s="9"/>
      <c r="M160" s="48"/>
    </row>
    <row r="161" spans="1:13" x14ac:dyDescent="0.25">
      <c r="A161" s="9" t="s">
        <v>173</v>
      </c>
      <c r="B161" s="9" t="s">
        <v>8</v>
      </c>
      <c r="C161" s="9" t="s">
        <v>9</v>
      </c>
      <c r="D161">
        <v>30</v>
      </c>
      <c r="E161" s="8">
        <v>44800</v>
      </c>
      <c r="F161" s="7">
        <v>112570</v>
      </c>
      <c r="G161" t="s">
        <v>16</v>
      </c>
      <c r="H161" t="s">
        <v>220</v>
      </c>
      <c r="I161" s="13">
        <f ca="1">(TODAY()-staff[[#This Row],[Date Joined]])/365</f>
        <v>1.5506849315068494</v>
      </c>
      <c r="J161" s="48">
        <f ca="1">ROUNDUP(IF(staff[[#This Row],[Tenure]]&gt;2,3%,2%)*staff[[#This Row],[Salary]],0)</f>
        <v>2252</v>
      </c>
      <c r="K161" s="9">
        <f>_xlfn.XLOOKUP(staff[[#This Row],[Rating]],$P$34:$P$38,$O$34:$O$38)</f>
        <v>3</v>
      </c>
      <c r="L161" s="9"/>
      <c r="M161" s="48"/>
    </row>
    <row r="162" spans="1:13" hidden="1" x14ac:dyDescent="0.25">
      <c r="A162" s="9" t="s">
        <v>64</v>
      </c>
      <c r="B162" s="9" t="s">
        <v>15</v>
      </c>
      <c r="C162" s="9" t="s">
        <v>12</v>
      </c>
      <c r="D162">
        <v>20</v>
      </c>
      <c r="E162" s="8">
        <v>44183</v>
      </c>
      <c r="F162" s="7">
        <v>112650</v>
      </c>
      <c r="G162" t="s">
        <v>16</v>
      </c>
      <c r="H162" t="s">
        <v>218</v>
      </c>
      <c r="I162" s="13">
        <f ca="1">(TODAY()-staff[[#This Row],[Date Joined]])/365</f>
        <v>3.2410958904109588</v>
      </c>
      <c r="J162" s="48">
        <f ca="1">ROUNDUP(IF(staff[[#This Row],[Tenure]]&gt;2,3%,2%)*staff[[#This Row],[Salary]],0)</f>
        <v>3380</v>
      </c>
      <c r="K162" s="9">
        <f>_xlfn.XLOOKUP(staff[[#This Row],[Rating]],$P$34:$P$38,$O$34:$O$38)</f>
        <v>3</v>
      </c>
      <c r="L162" s="9"/>
      <c r="M162" s="48"/>
    </row>
    <row r="163" spans="1:13" hidden="1" x14ac:dyDescent="0.25">
      <c r="A163" s="9" t="s">
        <v>64</v>
      </c>
      <c r="B163" s="9" t="s">
        <v>15</v>
      </c>
      <c r="C163" s="9" t="s">
        <v>9</v>
      </c>
      <c r="D163">
        <v>34</v>
      </c>
      <c r="E163" s="8">
        <v>44703</v>
      </c>
      <c r="F163" s="7">
        <v>112650</v>
      </c>
      <c r="G163" t="s">
        <v>16</v>
      </c>
      <c r="H163" t="s">
        <v>218</v>
      </c>
      <c r="I163" s="13">
        <f ca="1">(TODAY()-staff[[#This Row],[Date Joined]])/365</f>
        <v>1.8164383561643835</v>
      </c>
      <c r="J163" s="48">
        <f ca="1">ROUNDUP(IF(staff[[#This Row],[Tenure]]&gt;2,3%,2%)*staff[[#This Row],[Salary]],0)</f>
        <v>2253</v>
      </c>
      <c r="K163" s="9">
        <f>_xlfn.XLOOKUP(staff[[#This Row],[Rating]],$P$34:$P$38,$O$34:$O$38)</f>
        <v>3</v>
      </c>
      <c r="L163" s="9"/>
      <c r="M163" s="48"/>
    </row>
    <row r="164" spans="1:13" x14ac:dyDescent="0.25">
      <c r="A164" s="9" t="s">
        <v>156</v>
      </c>
      <c r="B164" s="9" t="s">
        <v>15</v>
      </c>
      <c r="C164" s="9" t="s">
        <v>12</v>
      </c>
      <c r="D164">
        <v>20</v>
      </c>
      <c r="E164" s="8">
        <v>44122</v>
      </c>
      <c r="F164" s="7">
        <v>112650</v>
      </c>
      <c r="G164" t="s">
        <v>16</v>
      </c>
      <c r="H164" t="s">
        <v>220</v>
      </c>
      <c r="I164" s="13">
        <f ca="1">(TODAY()-staff[[#This Row],[Date Joined]])/365</f>
        <v>3.408219178082192</v>
      </c>
      <c r="J164" s="48">
        <f ca="1">ROUNDUP(IF(staff[[#This Row],[Tenure]]&gt;2,3%,2%)*staff[[#This Row],[Salary]],0)</f>
        <v>3380</v>
      </c>
      <c r="K164" s="9">
        <f>_xlfn.XLOOKUP(staff[[#This Row],[Rating]],$P$34:$P$38,$O$34:$O$38)</f>
        <v>3</v>
      </c>
      <c r="L164" s="9"/>
      <c r="M164" s="48"/>
    </row>
    <row r="165" spans="1:13" x14ac:dyDescent="0.25">
      <c r="A165" s="9" t="s">
        <v>178</v>
      </c>
      <c r="B165" s="9" t="s">
        <v>15</v>
      </c>
      <c r="C165" s="9" t="s">
        <v>9</v>
      </c>
      <c r="D165">
        <v>34</v>
      </c>
      <c r="E165" s="8">
        <v>44642</v>
      </c>
      <c r="F165" s="7">
        <v>112650</v>
      </c>
      <c r="G165" t="s">
        <v>16</v>
      </c>
      <c r="H165" t="s">
        <v>220</v>
      </c>
      <c r="I165" s="13">
        <f ca="1">(TODAY()-staff[[#This Row],[Date Joined]])/365</f>
        <v>1.9835616438356165</v>
      </c>
      <c r="J165" s="48">
        <f ca="1">ROUNDUP(IF(staff[[#This Row],[Tenure]]&gt;2,3%,2%)*staff[[#This Row],[Salary]],0)</f>
        <v>2253</v>
      </c>
      <c r="K165" s="9">
        <f>_xlfn.XLOOKUP(staff[[#This Row],[Rating]],$P$34:$P$38,$O$34:$O$38)</f>
        <v>3</v>
      </c>
      <c r="L165" s="9"/>
      <c r="M165" s="48"/>
    </row>
    <row r="166" spans="1:13" hidden="1" x14ac:dyDescent="0.25">
      <c r="A166" s="9" t="s">
        <v>58</v>
      </c>
      <c r="B166" s="9" t="s">
        <v>15</v>
      </c>
      <c r="C166" s="9" t="s">
        <v>19</v>
      </c>
      <c r="D166">
        <v>22</v>
      </c>
      <c r="E166" s="8">
        <v>44446</v>
      </c>
      <c r="F166" s="7">
        <v>112780</v>
      </c>
      <c r="G166" t="s">
        <v>13</v>
      </c>
      <c r="H166" t="s">
        <v>218</v>
      </c>
      <c r="I166" s="13">
        <f ca="1">(TODAY()-staff[[#This Row],[Date Joined]])/365</f>
        <v>2.5205479452054793</v>
      </c>
      <c r="J166" s="48">
        <f ca="1">ROUNDUP(IF(staff[[#This Row],[Tenure]]&gt;2,3%,2%)*staff[[#This Row],[Salary]],0)</f>
        <v>3384</v>
      </c>
      <c r="K166" s="9">
        <f>_xlfn.XLOOKUP(staff[[#This Row],[Rating]],$P$34:$P$38,$O$34:$O$38)</f>
        <v>4</v>
      </c>
      <c r="L166" s="9"/>
      <c r="M166" s="48"/>
    </row>
    <row r="167" spans="1:13" x14ac:dyDescent="0.25">
      <c r="A167" s="9" t="s">
        <v>150</v>
      </c>
      <c r="B167" s="9" t="s">
        <v>15</v>
      </c>
      <c r="C167" s="9" t="s">
        <v>19</v>
      </c>
      <c r="D167">
        <v>22</v>
      </c>
      <c r="E167" s="8">
        <v>44384</v>
      </c>
      <c r="F167" s="7">
        <v>112780</v>
      </c>
      <c r="G167" t="s">
        <v>13</v>
      </c>
      <c r="H167" t="s">
        <v>220</v>
      </c>
      <c r="I167" s="13">
        <f ca="1">(TODAY()-staff[[#This Row],[Date Joined]])/365</f>
        <v>2.6904109589041094</v>
      </c>
      <c r="J167" s="48">
        <f ca="1">ROUNDUP(IF(staff[[#This Row],[Tenure]]&gt;2,3%,2%)*staff[[#This Row],[Salary]],0)</f>
        <v>3384</v>
      </c>
      <c r="K167" s="9">
        <f>_xlfn.XLOOKUP(staff[[#This Row],[Rating]],$P$34:$P$38,$O$34:$O$38)</f>
        <v>4</v>
      </c>
      <c r="L167" s="9"/>
      <c r="M167" s="48"/>
    </row>
    <row r="168" spans="1:13" hidden="1" x14ac:dyDescent="0.25">
      <c r="A168" s="9" t="s">
        <v>98</v>
      </c>
      <c r="B168" s="9" t="s">
        <v>15</v>
      </c>
      <c r="C168" s="9" t="s">
        <v>9</v>
      </c>
      <c r="D168">
        <v>27</v>
      </c>
      <c r="E168" s="8">
        <v>44609</v>
      </c>
      <c r="F168" s="7">
        <v>113280</v>
      </c>
      <c r="G168" t="s">
        <v>42</v>
      </c>
      <c r="H168" t="s">
        <v>218</v>
      </c>
      <c r="I168" s="13">
        <f ca="1">(TODAY()-staff[[#This Row],[Date Joined]])/365</f>
        <v>2.0739726027397261</v>
      </c>
      <c r="J168" s="48">
        <f ca="1">ROUNDUP(IF(staff[[#This Row],[Tenure]]&gt;2,3%,2%)*staff[[#This Row],[Salary]],0)</f>
        <v>3399</v>
      </c>
      <c r="K168" s="9">
        <f>_xlfn.XLOOKUP(staff[[#This Row],[Rating]],$P$34:$P$38,$O$34:$O$38)</f>
        <v>1</v>
      </c>
      <c r="L168" s="9"/>
      <c r="M168" s="48"/>
    </row>
    <row r="169" spans="1:13" x14ac:dyDescent="0.25">
      <c r="A169" s="9" t="s">
        <v>191</v>
      </c>
      <c r="B169" s="9" t="s">
        <v>15</v>
      </c>
      <c r="C169" s="9" t="s">
        <v>9</v>
      </c>
      <c r="D169">
        <v>27</v>
      </c>
      <c r="E169" s="8">
        <v>44547</v>
      </c>
      <c r="F169" s="7">
        <v>113280</v>
      </c>
      <c r="G169" t="s">
        <v>42</v>
      </c>
      <c r="H169" t="s">
        <v>220</v>
      </c>
      <c r="I169" s="13">
        <f ca="1">(TODAY()-staff[[#This Row],[Date Joined]])/365</f>
        <v>2.2438356164383562</v>
      </c>
      <c r="J169" s="48">
        <f ca="1">ROUNDUP(IF(staff[[#This Row],[Tenure]]&gt;2,3%,2%)*staff[[#This Row],[Salary]],0)</f>
        <v>3399</v>
      </c>
      <c r="K169" s="9">
        <f>_xlfn.XLOOKUP(staff[[#This Row],[Rating]],$P$34:$P$38,$O$34:$O$38)</f>
        <v>1</v>
      </c>
      <c r="L169" s="9"/>
      <c r="M169" s="48"/>
    </row>
    <row r="170" spans="1:13" hidden="1" x14ac:dyDescent="0.25">
      <c r="A170" s="9" t="s">
        <v>54</v>
      </c>
      <c r="B170" s="9" t="s">
        <v>8</v>
      </c>
      <c r="C170" s="9" t="s">
        <v>9</v>
      </c>
      <c r="D170">
        <v>30</v>
      </c>
      <c r="E170" s="8">
        <v>44850</v>
      </c>
      <c r="F170" s="7">
        <v>114180</v>
      </c>
      <c r="G170" t="s">
        <v>16</v>
      </c>
      <c r="H170" t="s">
        <v>218</v>
      </c>
      <c r="I170" s="13">
        <f ca="1">(TODAY()-staff[[#This Row],[Date Joined]])/365</f>
        <v>1.4136986301369863</v>
      </c>
      <c r="J170" s="48">
        <f ca="1">ROUNDUP(IF(staff[[#This Row],[Tenure]]&gt;2,3%,2%)*staff[[#This Row],[Salary]],0)</f>
        <v>2284</v>
      </c>
      <c r="K170" s="9">
        <f>_xlfn.XLOOKUP(staff[[#This Row],[Rating]],$P$34:$P$38,$O$34:$O$38)</f>
        <v>3</v>
      </c>
      <c r="L170" s="9"/>
      <c r="M170" s="48"/>
    </row>
    <row r="171" spans="1:13" x14ac:dyDescent="0.25">
      <c r="A171" s="9" t="s">
        <v>147</v>
      </c>
      <c r="B171" s="9" t="s">
        <v>8</v>
      </c>
      <c r="C171" s="9" t="s">
        <v>9</v>
      </c>
      <c r="D171">
        <v>30</v>
      </c>
      <c r="E171" s="8">
        <v>44789</v>
      </c>
      <c r="F171" s="7">
        <v>114180</v>
      </c>
      <c r="G171" t="s">
        <v>16</v>
      </c>
      <c r="H171" t="s">
        <v>220</v>
      </c>
      <c r="I171" s="13">
        <f ca="1">(TODAY()-staff[[#This Row],[Date Joined]])/365</f>
        <v>1.5808219178082192</v>
      </c>
      <c r="J171" s="48">
        <f ca="1">ROUNDUP(IF(staff[[#This Row],[Tenure]]&gt;2,3%,2%)*staff[[#This Row],[Salary]],0)</f>
        <v>2284</v>
      </c>
      <c r="K171" s="9">
        <f>_xlfn.XLOOKUP(staff[[#This Row],[Rating]],$P$34:$P$38,$O$34:$O$38)</f>
        <v>3</v>
      </c>
      <c r="L171" s="9"/>
      <c r="M171" s="48"/>
    </row>
    <row r="172" spans="1:13" hidden="1" x14ac:dyDescent="0.25">
      <c r="A172" s="9" t="s">
        <v>17</v>
      </c>
      <c r="B172" s="9" t="s">
        <v>8</v>
      </c>
      <c r="C172" s="9" t="s">
        <v>12</v>
      </c>
      <c r="D172">
        <v>43</v>
      </c>
      <c r="E172" s="8">
        <v>45045</v>
      </c>
      <c r="F172" s="7">
        <v>114870</v>
      </c>
      <c r="G172" t="s">
        <v>16</v>
      </c>
      <c r="H172" t="s">
        <v>218</v>
      </c>
      <c r="I172" s="13">
        <f ca="1">(TODAY()-staff[[#This Row],[Date Joined]])/365</f>
        <v>0.8794520547945206</v>
      </c>
      <c r="J172" s="48">
        <f ca="1">ROUNDUP(IF(staff[[#This Row],[Tenure]]&gt;2,3%,2%)*staff[[#This Row],[Salary]],0)</f>
        <v>2298</v>
      </c>
      <c r="K172" s="9">
        <f>_xlfn.XLOOKUP(staff[[#This Row],[Rating]],$P$34:$P$38,$O$34:$O$38)</f>
        <v>3</v>
      </c>
      <c r="L172" s="9"/>
      <c r="M172" s="48"/>
    </row>
    <row r="173" spans="1:13" x14ac:dyDescent="0.25">
      <c r="A173" s="9" t="s">
        <v>114</v>
      </c>
      <c r="B173" s="9" t="s">
        <v>8</v>
      </c>
      <c r="C173" s="9" t="s">
        <v>12</v>
      </c>
      <c r="D173">
        <v>44</v>
      </c>
      <c r="E173" s="8">
        <v>44985</v>
      </c>
      <c r="F173" s="7">
        <v>114870</v>
      </c>
      <c r="G173" t="s">
        <v>16</v>
      </c>
      <c r="H173" t="s">
        <v>220</v>
      </c>
      <c r="I173" s="13">
        <f ca="1">(TODAY()-staff[[#This Row],[Date Joined]])/365</f>
        <v>1.0438356164383562</v>
      </c>
      <c r="J173" s="48">
        <f ca="1">ROUNDUP(IF(staff[[#This Row],[Tenure]]&gt;2,3%,2%)*staff[[#This Row],[Salary]],0)</f>
        <v>2298</v>
      </c>
      <c r="K173" s="9">
        <f>_xlfn.XLOOKUP(staff[[#This Row],[Rating]],$P$34:$P$38,$O$34:$O$38)</f>
        <v>3</v>
      </c>
      <c r="L173" s="9"/>
      <c r="M173" s="48"/>
    </row>
    <row r="174" spans="1:13" hidden="1" x14ac:dyDescent="0.25">
      <c r="A174" s="9" t="s">
        <v>83</v>
      </c>
      <c r="B174" s="9" t="s">
        <v>8</v>
      </c>
      <c r="C174" s="9" t="s">
        <v>9</v>
      </c>
      <c r="D174">
        <v>36</v>
      </c>
      <c r="E174" s="8">
        <v>44085</v>
      </c>
      <c r="F174" s="7">
        <v>114890</v>
      </c>
      <c r="G174" t="s">
        <v>16</v>
      </c>
      <c r="H174" t="s">
        <v>218</v>
      </c>
      <c r="I174" s="13">
        <f ca="1">(TODAY()-staff[[#This Row],[Date Joined]])/365</f>
        <v>3.5095890410958903</v>
      </c>
      <c r="J174" s="48">
        <f ca="1">ROUNDUP(IF(staff[[#This Row],[Tenure]]&gt;2,3%,2%)*staff[[#This Row],[Salary]],0)</f>
        <v>3447</v>
      </c>
      <c r="K174" s="9">
        <f>_xlfn.XLOOKUP(staff[[#This Row],[Rating]],$P$34:$P$38,$O$34:$O$38)</f>
        <v>3</v>
      </c>
      <c r="L174" s="9"/>
      <c r="M174" s="48"/>
    </row>
    <row r="175" spans="1:13" x14ac:dyDescent="0.25">
      <c r="A175" s="9" t="s">
        <v>175</v>
      </c>
      <c r="B175" s="9" t="s">
        <v>8</v>
      </c>
      <c r="C175" s="9" t="s">
        <v>9</v>
      </c>
      <c r="D175">
        <v>36</v>
      </c>
      <c r="E175" s="8">
        <v>44023</v>
      </c>
      <c r="F175" s="7">
        <v>114890</v>
      </c>
      <c r="G175" t="s">
        <v>16</v>
      </c>
      <c r="H175" t="s">
        <v>220</v>
      </c>
      <c r="I175" s="13">
        <f ca="1">(TODAY()-staff[[#This Row],[Date Joined]])/365</f>
        <v>3.6794520547945204</v>
      </c>
      <c r="J175" s="48">
        <f ca="1">ROUNDUP(IF(staff[[#This Row],[Tenure]]&gt;2,3%,2%)*staff[[#This Row],[Salary]],0)</f>
        <v>3447</v>
      </c>
      <c r="K175" s="9">
        <f>_xlfn.XLOOKUP(staff[[#This Row],[Rating]],$P$34:$P$38,$O$34:$O$38)</f>
        <v>3</v>
      </c>
      <c r="L175" s="9"/>
      <c r="M175" s="48"/>
    </row>
    <row r="176" spans="1:13" hidden="1" x14ac:dyDescent="0.25">
      <c r="A176" s="9" t="s">
        <v>49</v>
      </c>
      <c r="B176" s="9" t="s">
        <v>219</v>
      </c>
      <c r="C176" s="9" t="s">
        <v>21</v>
      </c>
      <c r="D176">
        <v>37</v>
      </c>
      <c r="E176" s="8">
        <v>44146</v>
      </c>
      <c r="F176" s="7">
        <v>115440</v>
      </c>
      <c r="G176" t="s">
        <v>24</v>
      </c>
      <c r="H176" t="s">
        <v>218</v>
      </c>
      <c r="I176" s="13">
        <f ca="1">(TODAY()-staff[[#This Row],[Date Joined]])/365</f>
        <v>3.3424657534246576</v>
      </c>
      <c r="J176" s="48">
        <f ca="1">ROUNDUP(IF(staff[[#This Row],[Tenure]]&gt;2,3%,2%)*staff[[#This Row],[Salary]],0)</f>
        <v>3464</v>
      </c>
      <c r="K176" s="9">
        <f>_xlfn.XLOOKUP(staff[[#This Row],[Rating]],$P$34:$P$38,$O$34:$O$38)</f>
        <v>2</v>
      </c>
      <c r="L176" s="9"/>
      <c r="M176" s="48"/>
    </row>
    <row r="177" spans="1:13" x14ac:dyDescent="0.25">
      <c r="A177" s="9" t="s">
        <v>142</v>
      </c>
      <c r="B177" s="9" t="s">
        <v>219</v>
      </c>
      <c r="C177" s="9" t="s">
        <v>21</v>
      </c>
      <c r="D177">
        <v>37</v>
      </c>
      <c r="E177" s="8">
        <v>44085</v>
      </c>
      <c r="F177" s="7">
        <v>115440</v>
      </c>
      <c r="G177" t="s">
        <v>24</v>
      </c>
      <c r="H177" t="s">
        <v>220</v>
      </c>
      <c r="I177" s="13">
        <f ca="1">(TODAY()-staff[[#This Row],[Date Joined]])/365</f>
        <v>3.5095890410958903</v>
      </c>
      <c r="J177" s="48">
        <f ca="1">ROUNDUP(IF(staff[[#This Row],[Tenure]]&gt;2,3%,2%)*staff[[#This Row],[Salary]],0)</f>
        <v>3464</v>
      </c>
      <c r="K177" s="9">
        <f>_xlfn.XLOOKUP(staff[[#This Row],[Rating]],$P$34:$P$38,$O$34:$O$38)</f>
        <v>2</v>
      </c>
      <c r="L177" s="9"/>
      <c r="M177" s="48"/>
    </row>
    <row r="178" spans="1:13" hidden="1" x14ac:dyDescent="0.25">
      <c r="A178" s="9" t="s">
        <v>40</v>
      </c>
      <c r="B178" s="9" t="s">
        <v>15</v>
      </c>
      <c r="C178" s="9" t="s">
        <v>9</v>
      </c>
      <c r="D178">
        <v>33</v>
      </c>
      <c r="E178" s="8">
        <v>44164</v>
      </c>
      <c r="F178" s="7">
        <v>115920</v>
      </c>
      <c r="G178" t="s">
        <v>16</v>
      </c>
      <c r="H178" t="s">
        <v>218</v>
      </c>
      <c r="I178" s="13">
        <f ca="1">(TODAY()-staff[[#This Row],[Date Joined]])/365</f>
        <v>3.2931506849315069</v>
      </c>
      <c r="J178" s="48">
        <f ca="1">ROUNDUP(IF(staff[[#This Row],[Tenure]]&gt;2,3%,2%)*staff[[#This Row],[Salary]],0)</f>
        <v>3478</v>
      </c>
      <c r="K178" s="9">
        <f>_xlfn.XLOOKUP(staff[[#This Row],[Rating]],$P$34:$P$38,$O$34:$O$38)</f>
        <v>3</v>
      </c>
      <c r="L178" s="9"/>
      <c r="M178" s="48"/>
    </row>
    <row r="179" spans="1:13" x14ac:dyDescent="0.25">
      <c r="A179" s="9" t="s">
        <v>134</v>
      </c>
      <c r="B179" s="9" t="s">
        <v>15</v>
      </c>
      <c r="C179" s="9" t="s">
        <v>9</v>
      </c>
      <c r="D179">
        <v>33</v>
      </c>
      <c r="E179" s="8">
        <v>44103</v>
      </c>
      <c r="F179" s="7">
        <v>115920</v>
      </c>
      <c r="G179" t="s">
        <v>16</v>
      </c>
      <c r="H179" t="s">
        <v>220</v>
      </c>
      <c r="I179" s="13">
        <f ca="1">(TODAY()-staff[[#This Row],[Date Joined]])/365</f>
        <v>3.4602739726027396</v>
      </c>
      <c r="J179" s="48">
        <f ca="1">ROUNDUP(IF(staff[[#This Row],[Tenure]]&gt;2,3%,2%)*staff[[#This Row],[Salary]],0)</f>
        <v>3478</v>
      </c>
      <c r="K179" s="9">
        <f>_xlfn.XLOOKUP(staff[[#This Row],[Rating]],$P$34:$P$38,$O$34:$O$38)</f>
        <v>3</v>
      </c>
      <c r="L179" s="9"/>
      <c r="M179" s="48"/>
    </row>
    <row r="180" spans="1:13" hidden="1" x14ac:dyDescent="0.25">
      <c r="A180" s="9" t="s">
        <v>55</v>
      </c>
      <c r="B180" s="9" t="s">
        <v>8</v>
      </c>
      <c r="C180" s="9" t="s">
        <v>56</v>
      </c>
      <c r="D180">
        <v>37</v>
      </c>
      <c r="E180" s="8">
        <v>44451</v>
      </c>
      <c r="F180" s="7">
        <v>118100</v>
      </c>
      <c r="G180" t="s">
        <v>16</v>
      </c>
      <c r="H180" t="s">
        <v>218</v>
      </c>
      <c r="I180" s="13">
        <f ca="1">(TODAY()-staff[[#This Row],[Date Joined]])/365</f>
        <v>2.506849315068493</v>
      </c>
      <c r="J180" s="48">
        <f ca="1">ROUNDUP(IF(staff[[#This Row],[Tenure]]&gt;2,3%,2%)*staff[[#This Row],[Salary]],0)</f>
        <v>3543</v>
      </c>
      <c r="K180" s="9">
        <f>_xlfn.XLOOKUP(staff[[#This Row],[Rating]],$P$34:$P$38,$O$34:$O$38)</f>
        <v>3</v>
      </c>
      <c r="L180" s="9"/>
      <c r="M180" s="48"/>
    </row>
    <row r="181" spans="1:13" x14ac:dyDescent="0.25">
      <c r="A181" s="9" t="s">
        <v>148</v>
      </c>
      <c r="B181" s="9" t="s">
        <v>8</v>
      </c>
      <c r="C181" s="9" t="s">
        <v>56</v>
      </c>
      <c r="D181">
        <v>37</v>
      </c>
      <c r="E181" s="8">
        <v>44389</v>
      </c>
      <c r="F181" s="7">
        <v>118100</v>
      </c>
      <c r="G181" t="s">
        <v>16</v>
      </c>
      <c r="H181" t="s">
        <v>220</v>
      </c>
      <c r="I181" s="13">
        <f ca="1">(TODAY()-staff[[#This Row],[Date Joined]])/365</f>
        <v>2.6767123287671235</v>
      </c>
      <c r="J181" s="48">
        <f ca="1">ROUNDUP(IF(staff[[#This Row],[Tenure]]&gt;2,3%,2%)*staff[[#This Row],[Salary]],0)</f>
        <v>3543</v>
      </c>
      <c r="K181" s="9">
        <f>_xlfn.XLOOKUP(staff[[#This Row],[Rating]],$P$34:$P$38,$O$34:$O$38)</f>
        <v>3</v>
      </c>
      <c r="L181" s="9"/>
      <c r="M181" s="48"/>
    </row>
    <row r="182" spans="1:13" hidden="1" x14ac:dyDescent="0.25">
      <c r="A182" s="9" t="s">
        <v>106</v>
      </c>
      <c r="B182" s="9" t="s">
        <v>15</v>
      </c>
      <c r="C182" s="9" t="s">
        <v>12</v>
      </c>
      <c r="D182">
        <v>36</v>
      </c>
      <c r="E182" s="8">
        <v>44019</v>
      </c>
      <c r="F182" s="7">
        <v>118840</v>
      </c>
      <c r="G182" t="s">
        <v>16</v>
      </c>
      <c r="H182" t="s">
        <v>218</v>
      </c>
      <c r="I182" s="13">
        <f ca="1">(TODAY()-staff[[#This Row],[Date Joined]])/365</f>
        <v>3.6904109589041094</v>
      </c>
      <c r="J182" s="48">
        <f ca="1">ROUNDUP(IF(staff[[#This Row],[Tenure]]&gt;2,3%,2%)*staff[[#This Row],[Salary]],0)</f>
        <v>3566</v>
      </c>
      <c r="K182" s="9">
        <f>_xlfn.XLOOKUP(staff[[#This Row],[Rating]],$P$34:$P$38,$O$34:$O$38)</f>
        <v>3</v>
      </c>
      <c r="L182" s="9"/>
      <c r="M182" s="48"/>
    </row>
    <row r="183" spans="1:13" hidden="1" x14ac:dyDescent="0.25">
      <c r="A183" s="9" t="s">
        <v>60</v>
      </c>
      <c r="B183" s="9" t="s">
        <v>8</v>
      </c>
      <c r="C183" s="9" t="s">
        <v>56</v>
      </c>
      <c r="D183">
        <v>27</v>
      </c>
      <c r="E183" s="8">
        <v>44122</v>
      </c>
      <c r="F183" s="7">
        <v>119110</v>
      </c>
      <c r="G183" t="s">
        <v>16</v>
      </c>
      <c r="H183" t="s">
        <v>218</v>
      </c>
      <c r="I183" s="13">
        <f ca="1">(TODAY()-staff[[#This Row],[Date Joined]])/365</f>
        <v>3.408219178082192</v>
      </c>
      <c r="J183" s="48">
        <f ca="1">ROUNDUP(IF(staff[[#This Row],[Tenure]]&gt;2,3%,2%)*staff[[#This Row],[Salary]],0)</f>
        <v>3574</v>
      </c>
      <c r="K183" s="9">
        <f>_xlfn.XLOOKUP(staff[[#This Row],[Rating]],$P$34:$P$38,$O$34:$O$38)</f>
        <v>3</v>
      </c>
      <c r="L183" s="9"/>
      <c r="M183" s="48"/>
    </row>
  </sheetData>
  <sortState xmlns:xlrd2="http://schemas.microsoft.com/office/spreadsheetml/2017/richdata2" ref="O41:P72">
    <sortCondition ref="O41:O72"/>
  </sortState>
  <mergeCells count="2">
    <mergeCell ref="N27:T27"/>
    <mergeCell ref="N33:P33"/>
  </mergeCells>
  <conditionalFormatting sqref="F1:F183">
    <cfRule type="colorScale" priority="3">
      <colorScale>
        <cfvo type="min"/>
        <cfvo type="percentile" val="50"/>
        <cfvo type="max"/>
        <color rgb="FF5A8AC6"/>
        <color rgb="FFFCFCFF"/>
        <color rgb="FFF8696B"/>
      </colorScale>
    </cfRule>
  </conditionalFormatting>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F58E0-931F-4114-8766-C55FC188754B}">
  <sheetPr>
    <tabColor rgb="FFFF0000"/>
  </sheetPr>
  <dimension ref="A1"/>
  <sheetViews>
    <sheetView workbookViewId="0">
      <selection activeCell="I43" sqref="I43"/>
    </sheetView>
  </sheetViews>
  <sheetFormatPr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EB6D4-40EA-4407-AAEA-539F98485BC0}">
  <sheetPr>
    <tabColor rgb="FF002060"/>
  </sheetPr>
  <dimension ref="A1:G36"/>
  <sheetViews>
    <sheetView topLeftCell="A7" zoomScale="115" zoomScaleNormal="115" workbookViewId="0">
      <selection activeCell="I3" sqref="I3"/>
    </sheetView>
  </sheetViews>
  <sheetFormatPr defaultRowHeight="15" x14ac:dyDescent="0.25"/>
  <cols>
    <col min="2" max="2" width="11.85546875" bestFit="1" customWidth="1"/>
    <col min="4" max="4" width="11.85546875" bestFit="1" customWidth="1"/>
    <col min="5" max="5" width="11.85546875" style="8" bestFit="1" customWidth="1"/>
    <col min="6" max="6" width="16.85546875" bestFit="1" customWidth="1"/>
    <col min="7" max="8" width="17.28515625" bestFit="1" customWidth="1"/>
  </cols>
  <sheetData>
    <row r="1" spans="1:7" x14ac:dyDescent="0.25">
      <c r="A1" s="21" t="s">
        <v>296</v>
      </c>
      <c r="B1" cm="1">
        <f t="array" ref="B1">COUNTA(_xlfn.UNIQUE((YEAR(staff[Date Joined])&amp;"-"&amp;MONTH(staff[Date Joined])))) + 2</f>
        <v>34</v>
      </c>
      <c r="D1" s="8"/>
      <c r="E1"/>
    </row>
    <row r="2" spans="1:7" x14ac:dyDescent="0.25">
      <c r="A2" s="21" t="s">
        <v>292</v>
      </c>
      <c r="B2" s="8">
        <f>MAX(staff[Date Joined])</f>
        <v>45045</v>
      </c>
      <c r="D2" s="52" t="s">
        <v>293</v>
      </c>
      <c r="E2" s="21" t="s">
        <v>301</v>
      </c>
      <c r="F2" s="21" t="s">
        <v>294</v>
      </c>
      <c r="G2" s="21" t="s">
        <v>295</v>
      </c>
    </row>
    <row r="3" spans="1:7" x14ac:dyDescent="0.25">
      <c r="A3" s="21" t="s">
        <v>297</v>
      </c>
      <c r="B3" s="8">
        <f>MIN(staff[Date Joined])</f>
        <v>43962</v>
      </c>
      <c r="C3" cm="1">
        <f t="array" ref="C3:C36">_xlfn.SEQUENCE(B1)</f>
        <v>1</v>
      </c>
      <c r="D3" s="8" cm="1">
        <f t="array" ref="D3:D36">EDATE(DATE(2020,5,7),_xlfn.ANCHORARRAY(C3)+0)</f>
        <v>43989</v>
      </c>
      <c r="E3" t="str">
        <f>TEXT(D3,"mmm-aa")</f>
        <v>jun-20</v>
      </c>
      <c r="F3">
        <f>COUNTIFS(staff[Date Joined],"&gt;="&amp;E3,staff[Date Joined],"&lt;="&amp;EOMONTH(E3,0))</f>
        <v>1</v>
      </c>
      <c r="G3">
        <f>SUM(F3:$F$3)</f>
        <v>1</v>
      </c>
    </row>
    <row r="4" spans="1:7" x14ac:dyDescent="0.25">
      <c r="C4">
        <v>2</v>
      </c>
      <c r="D4" s="8">
        <v>44019</v>
      </c>
      <c r="E4" t="str">
        <f t="shared" ref="E4:E36" si="0">TEXT(D4,"mmm-aa")</f>
        <v>jul-20</v>
      </c>
      <c r="F4">
        <f>COUNTIFS(staff[Date Joined],"&gt;="&amp;E4,staff[Date Joined],"&lt;="&amp;EOMONTH(E4,0))</f>
        <v>5</v>
      </c>
      <c r="G4">
        <f>SUM(F$3:$F4)</f>
        <v>6</v>
      </c>
    </row>
    <row r="5" spans="1:7" x14ac:dyDescent="0.25">
      <c r="C5">
        <v>3</v>
      </c>
      <c r="D5" s="8">
        <v>44050</v>
      </c>
      <c r="E5" t="str">
        <f t="shared" si="0"/>
        <v>ago-20</v>
      </c>
      <c r="F5">
        <f>COUNTIFS(staff[Date Joined],"&gt;="&amp;E5,staff[Date Joined],"&lt;="&amp;EOMONTH(E5,0))</f>
        <v>2</v>
      </c>
      <c r="G5">
        <f>SUM(F$3:$F5)</f>
        <v>8</v>
      </c>
    </row>
    <row r="6" spans="1:7" x14ac:dyDescent="0.25">
      <c r="C6">
        <v>4</v>
      </c>
      <c r="D6" s="8">
        <v>44081</v>
      </c>
      <c r="E6" t="str">
        <f t="shared" si="0"/>
        <v>sep-20</v>
      </c>
      <c r="F6">
        <f>COUNTIFS(staff[Date Joined],"&gt;="&amp;E6,staff[Date Joined],"&lt;="&amp;EOMONTH(E6,0))</f>
        <v>6</v>
      </c>
      <c r="G6">
        <f>SUM(F$3:$F6)</f>
        <v>14</v>
      </c>
    </row>
    <row r="7" spans="1:7" x14ac:dyDescent="0.25">
      <c r="C7">
        <v>5</v>
      </c>
      <c r="D7" s="8">
        <v>44111</v>
      </c>
      <c r="E7" t="str">
        <f t="shared" si="0"/>
        <v>oct-20</v>
      </c>
      <c r="F7">
        <f>COUNTIFS(staff[Date Joined],"&gt;="&amp;E7,staff[Date Joined],"&lt;="&amp;EOMONTH(E7,0))</f>
        <v>6</v>
      </c>
      <c r="G7">
        <f>SUM(F$3:$F7)</f>
        <v>20</v>
      </c>
    </row>
    <row r="8" spans="1:7" x14ac:dyDescent="0.25">
      <c r="C8">
        <v>6</v>
      </c>
      <c r="D8" s="8">
        <v>44142</v>
      </c>
      <c r="E8" t="str">
        <f t="shared" si="0"/>
        <v>nov-20</v>
      </c>
      <c r="F8">
        <f>COUNTIFS(staff[Date Joined],"&gt;="&amp;E8,staff[Date Joined],"&lt;="&amp;EOMONTH(E8,0))</f>
        <v>6</v>
      </c>
      <c r="G8">
        <f>SUM(F$3:$F8)</f>
        <v>26</v>
      </c>
    </row>
    <row r="9" spans="1:7" x14ac:dyDescent="0.25">
      <c r="C9">
        <v>7</v>
      </c>
      <c r="D9" s="8">
        <v>44172</v>
      </c>
      <c r="E9" t="str">
        <f t="shared" si="0"/>
        <v>dic-20</v>
      </c>
      <c r="F9">
        <f>COUNTIFS(staff[Date Joined],"&gt;="&amp;E9,staff[Date Joined],"&lt;="&amp;EOMONTH(E9,0))</f>
        <v>7</v>
      </c>
      <c r="G9">
        <f>SUM(F$3:$F9)</f>
        <v>33</v>
      </c>
    </row>
    <row r="10" spans="1:7" x14ac:dyDescent="0.25">
      <c r="C10">
        <v>8</v>
      </c>
      <c r="D10" s="8">
        <v>44203</v>
      </c>
      <c r="E10" t="str">
        <f t="shared" si="0"/>
        <v>ene-21</v>
      </c>
      <c r="F10">
        <f>COUNTIFS(staff[Date Joined],"&gt;="&amp;E10,staff[Date Joined],"&lt;="&amp;EOMONTH(E10,0))</f>
        <v>6</v>
      </c>
      <c r="G10">
        <f>SUM(F$3:$F10)</f>
        <v>39</v>
      </c>
    </row>
    <row r="11" spans="1:7" x14ac:dyDescent="0.25">
      <c r="C11">
        <v>9</v>
      </c>
      <c r="D11" s="8">
        <v>44234</v>
      </c>
      <c r="E11" t="str">
        <f t="shared" si="0"/>
        <v>feb-21</v>
      </c>
      <c r="F11">
        <f>COUNTIFS(staff[Date Joined],"&gt;="&amp;E11,staff[Date Joined],"&lt;="&amp;EOMONTH(E11,0))</f>
        <v>4</v>
      </c>
      <c r="G11">
        <f>SUM(F$3:$F11)</f>
        <v>43</v>
      </c>
    </row>
    <row r="12" spans="1:7" x14ac:dyDescent="0.25">
      <c r="C12">
        <v>10</v>
      </c>
      <c r="D12" s="8">
        <v>44262</v>
      </c>
      <c r="E12" t="str">
        <f t="shared" si="0"/>
        <v>mar-21</v>
      </c>
      <c r="F12">
        <f>COUNTIFS(staff[Date Joined],"&gt;="&amp;E12,staff[Date Joined],"&lt;="&amp;EOMONTH(E12,0))</f>
        <v>9</v>
      </c>
      <c r="G12">
        <f>SUM(F$3:$F12)</f>
        <v>52</v>
      </c>
    </row>
    <row r="13" spans="1:7" x14ac:dyDescent="0.25">
      <c r="C13">
        <v>11</v>
      </c>
      <c r="D13" s="8">
        <v>44293</v>
      </c>
      <c r="E13" t="str">
        <f t="shared" si="0"/>
        <v>abr-21</v>
      </c>
      <c r="F13">
        <f>COUNTIFS(staff[Date Joined],"&gt;="&amp;E13,staff[Date Joined],"&lt;="&amp;EOMONTH(E13,0))</f>
        <v>5</v>
      </c>
      <c r="G13">
        <f>SUM(F$3:$F13)</f>
        <v>57</v>
      </c>
    </row>
    <row r="14" spans="1:7" x14ac:dyDescent="0.25">
      <c r="C14">
        <v>12</v>
      </c>
      <c r="D14" s="8">
        <v>44323</v>
      </c>
      <c r="E14" t="str">
        <f t="shared" si="0"/>
        <v>may-21</v>
      </c>
      <c r="F14">
        <f>COUNTIFS(staff[Date Joined],"&gt;="&amp;E14,staff[Date Joined],"&lt;="&amp;EOMONTH(E14,0))</f>
        <v>10</v>
      </c>
      <c r="G14">
        <f>SUM(F$3:$F14)</f>
        <v>67</v>
      </c>
    </row>
    <row r="15" spans="1:7" x14ac:dyDescent="0.25">
      <c r="C15">
        <v>13</v>
      </c>
      <c r="D15" s="8">
        <v>44354</v>
      </c>
      <c r="E15" t="str">
        <f t="shared" si="0"/>
        <v>jun-21</v>
      </c>
      <c r="F15">
        <f>COUNTIFS(staff[Date Joined],"&gt;="&amp;E15,staff[Date Joined],"&lt;="&amp;EOMONTH(E15,0))</f>
        <v>6</v>
      </c>
      <c r="G15">
        <f>SUM(F$3:$F15)</f>
        <v>73</v>
      </c>
    </row>
    <row r="16" spans="1:7" x14ac:dyDescent="0.25">
      <c r="C16">
        <v>14</v>
      </c>
      <c r="D16" s="8">
        <v>44384</v>
      </c>
      <c r="E16" t="str">
        <f t="shared" si="0"/>
        <v>jul-21</v>
      </c>
      <c r="F16">
        <f>COUNTIFS(staff[Date Joined],"&gt;="&amp;E16,staff[Date Joined],"&lt;="&amp;EOMONTH(E16,0))</f>
        <v>13</v>
      </c>
      <c r="G16">
        <f>SUM(F$3:$F16)</f>
        <v>86</v>
      </c>
    </row>
    <row r="17" spans="3:7" x14ac:dyDescent="0.25">
      <c r="C17">
        <v>15</v>
      </c>
      <c r="D17" s="8">
        <v>44415</v>
      </c>
      <c r="E17" t="str">
        <f t="shared" si="0"/>
        <v>ago-21</v>
      </c>
      <c r="F17">
        <f>COUNTIFS(staff[Date Joined],"&gt;="&amp;E17,staff[Date Joined],"&lt;="&amp;EOMONTH(E17,0))</f>
        <v>4</v>
      </c>
      <c r="G17">
        <f>SUM(F$3:$F17)</f>
        <v>90</v>
      </c>
    </row>
    <row r="18" spans="3:7" x14ac:dyDescent="0.25">
      <c r="C18">
        <v>16</v>
      </c>
      <c r="D18" s="8">
        <v>44446</v>
      </c>
      <c r="E18" t="str">
        <f t="shared" si="0"/>
        <v>sep-21</v>
      </c>
      <c r="F18">
        <f>COUNTIFS(staff[Date Joined],"&gt;="&amp;E18,staff[Date Joined],"&lt;="&amp;EOMONTH(E18,0))</f>
        <v>11</v>
      </c>
      <c r="G18">
        <f>SUM(F$3:$F18)</f>
        <v>101</v>
      </c>
    </row>
    <row r="19" spans="3:7" x14ac:dyDescent="0.25">
      <c r="C19">
        <v>17</v>
      </c>
      <c r="D19" s="8">
        <v>44476</v>
      </c>
      <c r="E19" t="str">
        <f t="shared" si="0"/>
        <v>oct-21</v>
      </c>
      <c r="F19">
        <f>COUNTIFS(staff[Date Joined],"&gt;="&amp;E19,staff[Date Joined],"&lt;="&amp;EOMONTH(E19,0))</f>
        <v>3</v>
      </c>
      <c r="G19">
        <f>SUM(F$3:$F19)</f>
        <v>104</v>
      </c>
    </row>
    <row r="20" spans="3:7" x14ac:dyDescent="0.25">
      <c r="C20">
        <v>18</v>
      </c>
      <c r="D20" s="8">
        <v>44507</v>
      </c>
      <c r="E20" t="str">
        <f t="shared" si="0"/>
        <v>nov-21</v>
      </c>
      <c r="F20">
        <f>COUNTIFS(staff[Date Joined],"&gt;="&amp;E20,staff[Date Joined],"&lt;="&amp;EOMONTH(E20,0))</f>
        <v>4</v>
      </c>
      <c r="G20">
        <f>SUM(F$3:$F20)</f>
        <v>108</v>
      </c>
    </row>
    <row r="21" spans="3:7" x14ac:dyDescent="0.25">
      <c r="C21">
        <v>19</v>
      </c>
      <c r="D21" s="8">
        <v>44537</v>
      </c>
      <c r="E21" t="str">
        <f t="shared" si="0"/>
        <v>dic-21</v>
      </c>
      <c r="F21">
        <f>COUNTIFS(staff[Date Joined],"&gt;="&amp;E21,staff[Date Joined],"&lt;="&amp;EOMONTH(E21,0))</f>
        <v>7</v>
      </c>
      <c r="G21">
        <f>SUM(F$3:$F21)</f>
        <v>115</v>
      </c>
    </row>
    <row r="22" spans="3:7" x14ac:dyDescent="0.25">
      <c r="C22">
        <v>20</v>
      </c>
      <c r="D22" s="8">
        <v>44568</v>
      </c>
      <c r="E22" t="str">
        <f t="shared" si="0"/>
        <v>ene-22</v>
      </c>
      <c r="F22">
        <f>COUNTIFS(staff[Date Joined],"&gt;="&amp;E22,staff[Date Joined],"&lt;="&amp;EOMONTH(E22,0))</f>
        <v>3</v>
      </c>
      <c r="G22">
        <f>SUM(F$3:$F22)</f>
        <v>118</v>
      </c>
    </row>
    <row r="23" spans="3:7" x14ac:dyDescent="0.25">
      <c r="C23">
        <v>21</v>
      </c>
      <c r="D23" s="8">
        <v>44599</v>
      </c>
      <c r="E23" t="str">
        <f t="shared" si="0"/>
        <v>feb-22</v>
      </c>
      <c r="F23">
        <f>COUNTIFS(staff[Date Joined],"&gt;="&amp;E23,staff[Date Joined],"&lt;="&amp;EOMONTH(E23,0))</f>
        <v>10</v>
      </c>
      <c r="G23">
        <f>SUM(F$3:$F23)</f>
        <v>128</v>
      </c>
    </row>
    <row r="24" spans="3:7" x14ac:dyDescent="0.25">
      <c r="C24">
        <v>22</v>
      </c>
      <c r="D24" s="8">
        <v>44627</v>
      </c>
      <c r="E24" t="str">
        <f t="shared" si="0"/>
        <v>mar-22</v>
      </c>
      <c r="F24">
        <f>COUNTIFS(staff[Date Joined],"&gt;="&amp;E24,staff[Date Joined],"&lt;="&amp;EOMONTH(E24,0))</f>
        <v>9</v>
      </c>
      <c r="G24">
        <f>SUM(F$3:$F24)</f>
        <v>137</v>
      </c>
    </row>
    <row r="25" spans="3:7" x14ac:dyDescent="0.25">
      <c r="C25">
        <v>23</v>
      </c>
      <c r="D25" s="8">
        <v>44658</v>
      </c>
      <c r="E25" t="str">
        <f t="shared" si="0"/>
        <v>abr-22</v>
      </c>
      <c r="F25">
        <f>COUNTIFS(staff[Date Joined],"&gt;="&amp;E25,staff[Date Joined],"&lt;="&amp;EOMONTH(E25,0))</f>
        <v>9</v>
      </c>
      <c r="G25">
        <f>SUM(F$3:$F25)</f>
        <v>146</v>
      </c>
    </row>
    <row r="26" spans="3:7" x14ac:dyDescent="0.25">
      <c r="C26">
        <v>24</v>
      </c>
      <c r="D26" s="8">
        <v>44688</v>
      </c>
      <c r="E26" t="str">
        <f t="shared" si="0"/>
        <v>may-22</v>
      </c>
      <c r="F26">
        <f>COUNTIFS(staff[Date Joined],"&gt;="&amp;E26,staff[Date Joined],"&lt;="&amp;EOMONTH(E26,0))</f>
        <v>10</v>
      </c>
      <c r="G26">
        <f>SUM(F$3:$F26)</f>
        <v>156</v>
      </c>
    </row>
    <row r="27" spans="3:7" x14ac:dyDescent="0.25">
      <c r="C27">
        <v>25</v>
      </c>
      <c r="D27" s="8">
        <v>44719</v>
      </c>
      <c r="E27" t="str">
        <f t="shared" si="0"/>
        <v>jun-22</v>
      </c>
      <c r="F27">
        <f>COUNTIFS(staff[Date Joined],"&gt;="&amp;E27,staff[Date Joined],"&lt;="&amp;EOMONTH(E27,0))</f>
        <v>7</v>
      </c>
      <c r="G27">
        <f>SUM(F$3:$F27)</f>
        <v>163</v>
      </c>
    </row>
    <row r="28" spans="3:7" x14ac:dyDescent="0.25">
      <c r="C28">
        <v>26</v>
      </c>
      <c r="D28" s="8">
        <v>44749</v>
      </c>
      <c r="E28" t="str">
        <f t="shared" si="0"/>
        <v>jul-22</v>
      </c>
      <c r="F28">
        <f>COUNTIFS(staff[Date Joined],"&gt;="&amp;E28,staff[Date Joined],"&lt;="&amp;EOMONTH(E28,0))</f>
        <v>5</v>
      </c>
      <c r="G28">
        <f>SUM(F$3:$F28)</f>
        <v>168</v>
      </c>
    </row>
    <row r="29" spans="3:7" x14ac:dyDescent="0.25">
      <c r="C29">
        <v>27</v>
      </c>
      <c r="D29" s="8">
        <v>44780</v>
      </c>
      <c r="E29" t="str">
        <f t="shared" si="0"/>
        <v>ago-22</v>
      </c>
      <c r="F29">
        <f>COUNTIFS(staff[Date Joined],"&gt;="&amp;E29,staff[Date Joined],"&lt;="&amp;EOMONTH(E29,0))</f>
        <v>5</v>
      </c>
      <c r="G29">
        <f>SUM(F$3:$F29)</f>
        <v>173</v>
      </c>
    </row>
    <row r="30" spans="3:7" x14ac:dyDescent="0.25">
      <c r="C30">
        <v>28</v>
      </c>
      <c r="D30" s="8">
        <v>44811</v>
      </c>
      <c r="E30" t="str">
        <f t="shared" si="0"/>
        <v>sep-22</v>
      </c>
      <c r="F30">
        <f>COUNTIFS(staff[Date Joined],"&gt;="&amp;E30,staff[Date Joined],"&lt;="&amp;EOMONTH(E30,0))</f>
        <v>2</v>
      </c>
      <c r="G30">
        <f>SUM(F$3:$F30)</f>
        <v>175</v>
      </c>
    </row>
    <row r="31" spans="3:7" x14ac:dyDescent="0.25">
      <c r="C31">
        <v>29</v>
      </c>
      <c r="D31" s="8">
        <v>44841</v>
      </c>
      <c r="E31" t="str">
        <f t="shared" si="0"/>
        <v>oct-22</v>
      </c>
      <c r="F31">
        <f>COUNTIFS(staff[Date Joined],"&gt;="&amp;E31,staff[Date Joined],"&lt;="&amp;EOMONTH(E31,0))</f>
        <v>3</v>
      </c>
      <c r="G31">
        <f>SUM(F$3:$F31)</f>
        <v>178</v>
      </c>
    </row>
    <row r="32" spans="3:7" x14ac:dyDescent="0.25">
      <c r="C32">
        <v>30</v>
      </c>
      <c r="D32" s="8">
        <v>44872</v>
      </c>
      <c r="E32" t="str">
        <f t="shared" si="0"/>
        <v>nov-22</v>
      </c>
      <c r="F32">
        <f>COUNTIFS(staff[Date Joined],"&gt;="&amp;E32,staff[Date Joined],"&lt;="&amp;EOMONTH(E32,0))</f>
        <v>0</v>
      </c>
      <c r="G32">
        <f>SUM(F$3:$F32)</f>
        <v>178</v>
      </c>
    </row>
    <row r="33" spans="3:7" x14ac:dyDescent="0.25">
      <c r="C33">
        <v>31</v>
      </c>
      <c r="D33" s="8">
        <v>44902</v>
      </c>
      <c r="E33" t="str">
        <f t="shared" si="0"/>
        <v>dic-22</v>
      </c>
      <c r="F33">
        <f>COUNTIFS(staff[Date Joined],"&gt;="&amp;E33,staff[Date Joined],"&lt;="&amp;EOMONTH(E33,0))</f>
        <v>0</v>
      </c>
      <c r="G33">
        <f>SUM(F$3:$F33)</f>
        <v>178</v>
      </c>
    </row>
    <row r="34" spans="3:7" x14ac:dyDescent="0.25">
      <c r="C34">
        <v>32</v>
      </c>
      <c r="D34" s="8">
        <v>44933</v>
      </c>
      <c r="E34" t="str">
        <f t="shared" si="0"/>
        <v>ene-23</v>
      </c>
      <c r="F34">
        <f>COUNTIFS(staff[Date Joined],"&gt;="&amp;E34,staff[Date Joined],"&lt;="&amp;EOMONTH(E34,0))</f>
        <v>0</v>
      </c>
      <c r="G34">
        <f>SUM(F$3:$F34)</f>
        <v>178</v>
      </c>
    </row>
    <row r="35" spans="3:7" x14ac:dyDescent="0.25">
      <c r="C35">
        <v>33</v>
      </c>
      <c r="D35" s="8">
        <v>44964</v>
      </c>
      <c r="E35" t="str">
        <f t="shared" si="0"/>
        <v>feb-23</v>
      </c>
      <c r="F35">
        <f>COUNTIFS(staff[Date Joined],"&gt;="&amp;E35,staff[Date Joined],"&lt;="&amp;EOMONTH(E35,0))</f>
        <v>1</v>
      </c>
      <c r="G35">
        <f>SUM(F$3:$F35)</f>
        <v>179</v>
      </c>
    </row>
    <row r="36" spans="3:7" x14ac:dyDescent="0.25">
      <c r="C36">
        <v>34</v>
      </c>
      <c r="D36" s="8">
        <v>44992</v>
      </c>
      <c r="E36" t="str">
        <f t="shared" si="0"/>
        <v>mar-23</v>
      </c>
      <c r="F36">
        <f>COUNTIFS(staff[Date Joined],"&gt;="&amp;E36,staff[Date Joined],"&lt;="&amp;EOMONTH(E36,0))</f>
        <v>0</v>
      </c>
      <c r="G36">
        <f>SUM(F$3:$F36)</f>
        <v>179</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AFFD9-25E0-4261-A067-5E825F928EEB}">
  <sheetPr>
    <tabColor rgb="FF00B050"/>
  </sheetPr>
  <dimension ref="B2:D59"/>
  <sheetViews>
    <sheetView zoomScale="145" zoomScaleNormal="145" workbookViewId="0">
      <selection activeCell="E26" sqref="E26"/>
    </sheetView>
  </sheetViews>
  <sheetFormatPr defaultRowHeight="15" x14ac:dyDescent="0.25"/>
  <cols>
    <col min="2" max="2" width="30" bestFit="1" customWidth="1"/>
    <col min="3" max="3" width="10.28515625" customWidth="1"/>
    <col min="4" max="4" width="15.42578125" customWidth="1"/>
  </cols>
  <sheetData>
    <row r="2" spans="2:4" ht="15.75" x14ac:dyDescent="0.25">
      <c r="B2" s="41">
        <v>3</v>
      </c>
    </row>
    <row r="3" spans="2:4" x14ac:dyDescent="0.25">
      <c r="B3" t="s">
        <v>251</v>
      </c>
    </row>
    <row r="4" spans="2:4" x14ac:dyDescent="0.25">
      <c r="B4" s="43" t="s">
        <v>247</v>
      </c>
      <c r="C4" s="43" t="s">
        <v>252</v>
      </c>
    </row>
    <row r="6" spans="2:4" x14ac:dyDescent="0.25">
      <c r="B6" s="42" t="s">
        <v>248</v>
      </c>
      <c r="C6" s="42" t="s">
        <v>249</v>
      </c>
      <c r="D6" s="42" t="s">
        <v>250</v>
      </c>
    </row>
    <row r="7" spans="2:4" x14ac:dyDescent="0.25">
      <c r="B7" t="str" cm="1">
        <f t="array" ref="B7:D59">_xlfn._xlws.SORT(_xlfn._xlws.FILTER(CHOOSE({1,2,3},staff[Name],staff[Salary],staff[Rating]),staff[Department]=C4),2,-1)</f>
        <v>Tawnya Tickel</v>
      </c>
      <c r="C7">
        <v>118840</v>
      </c>
      <c r="D7" t="str">
        <v>Average</v>
      </c>
    </row>
    <row r="8" spans="2:4" x14ac:dyDescent="0.25">
      <c r="B8" t="str">
        <v>Wilone O'Kielt</v>
      </c>
      <c r="C8">
        <v>114870</v>
      </c>
      <c r="D8" t="str">
        <v>Average</v>
      </c>
    </row>
    <row r="9" spans="2:4" x14ac:dyDescent="0.25">
      <c r="B9" t="str">
        <v>Ramnath Ravuri</v>
      </c>
      <c r="C9">
        <v>114870</v>
      </c>
      <c r="D9" t="str">
        <v>Average</v>
      </c>
    </row>
    <row r="10" spans="2:4" x14ac:dyDescent="0.25">
      <c r="B10" t="str">
        <v>Mollie Hanway</v>
      </c>
      <c r="C10">
        <v>112650</v>
      </c>
      <c r="D10" t="str">
        <v>Average</v>
      </c>
    </row>
    <row r="11" spans="2:4" x14ac:dyDescent="0.25">
      <c r="B11" t="str">
        <v>Deepali Charan</v>
      </c>
      <c r="C11">
        <v>112650</v>
      </c>
      <c r="D11" t="str">
        <v>Average</v>
      </c>
    </row>
    <row r="12" spans="2:4" x14ac:dyDescent="0.25">
      <c r="B12" t="str">
        <v>Bev Lashley</v>
      </c>
      <c r="C12">
        <v>112110</v>
      </c>
      <c r="D12" t="str">
        <v>Poor</v>
      </c>
    </row>
    <row r="13" spans="2:4" x14ac:dyDescent="0.25">
      <c r="B13" t="str">
        <v>Narois Motiwala</v>
      </c>
      <c r="C13">
        <v>112110</v>
      </c>
      <c r="D13" t="str">
        <v>Poor</v>
      </c>
    </row>
    <row r="14" spans="2:4" x14ac:dyDescent="0.25">
      <c r="B14" t="str">
        <v>Kaine Padly</v>
      </c>
      <c r="C14">
        <v>107700</v>
      </c>
      <c r="D14" t="str">
        <v>Average</v>
      </c>
    </row>
    <row r="15" spans="2:4" x14ac:dyDescent="0.25">
      <c r="B15" t="str">
        <v>Hridaynath Tendulkar</v>
      </c>
      <c r="C15">
        <v>107700</v>
      </c>
      <c r="D15" t="str">
        <v>Average</v>
      </c>
    </row>
    <row r="16" spans="2:4" x14ac:dyDescent="0.25">
      <c r="B16" t="str">
        <v>Caro Chappel</v>
      </c>
      <c r="C16">
        <v>104410</v>
      </c>
      <c r="D16" t="str">
        <v>Average</v>
      </c>
    </row>
    <row r="17" spans="2:4" x14ac:dyDescent="0.25">
      <c r="B17" t="str">
        <v>Manjusri Ruchi</v>
      </c>
      <c r="C17">
        <v>104410</v>
      </c>
      <c r="D17" t="str">
        <v>Average</v>
      </c>
    </row>
    <row r="18" spans="2:4" x14ac:dyDescent="0.25">
      <c r="B18" t="str">
        <v>Collin Jagson</v>
      </c>
      <c r="C18">
        <v>100420</v>
      </c>
      <c r="D18" t="str">
        <v>Average</v>
      </c>
    </row>
    <row r="19" spans="2:4" x14ac:dyDescent="0.25">
      <c r="B19" t="str">
        <v>Amlankusum Rajabhushan</v>
      </c>
      <c r="C19">
        <v>100420</v>
      </c>
      <c r="D19" t="str">
        <v>Average</v>
      </c>
    </row>
    <row r="20" spans="2:4" x14ac:dyDescent="0.25">
      <c r="B20" t="str">
        <v>Torrance Collier</v>
      </c>
      <c r="C20">
        <v>96140</v>
      </c>
      <c r="D20" t="str">
        <v>Average</v>
      </c>
    </row>
    <row r="21" spans="2:4" x14ac:dyDescent="0.25">
      <c r="B21" t="str">
        <v>Sukhdev Nageshwar</v>
      </c>
      <c r="C21">
        <v>96140</v>
      </c>
      <c r="D21" t="str">
        <v>Average</v>
      </c>
    </row>
    <row r="22" spans="2:4" x14ac:dyDescent="0.25">
      <c r="B22" t="str">
        <v>Madge McCloughen</v>
      </c>
      <c r="C22">
        <v>91310</v>
      </c>
      <c r="D22" t="str">
        <v>Average</v>
      </c>
    </row>
    <row r="23" spans="2:4" x14ac:dyDescent="0.25">
      <c r="B23" t="str">
        <v>Rukma Vinita</v>
      </c>
      <c r="C23">
        <v>91310</v>
      </c>
      <c r="D23" t="str">
        <v>Average</v>
      </c>
    </row>
    <row r="24" spans="2:4" x14ac:dyDescent="0.25">
      <c r="B24" t="str">
        <v>Dennison Crosswaite</v>
      </c>
      <c r="C24">
        <v>90700</v>
      </c>
      <c r="D24" t="str">
        <v>Above average</v>
      </c>
    </row>
    <row r="25" spans="2:4" x14ac:dyDescent="0.25">
      <c r="B25" t="str">
        <v>Karuna Pashupathy</v>
      </c>
      <c r="C25">
        <v>90700</v>
      </c>
      <c r="D25" t="str">
        <v>Above average</v>
      </c>
    </row>
    <row r="26" spans="2:4" x14ac:dyDescent="0.25">
      <c r="B26" t="str">
        <v>Ches Bonnell</v>
      </c>
      <c r="C26">
        <v>88050</v>
      </c>
      <c r="D26" t="str">
        <v>Poor</v>
      </c>
    </row>
    <row r="27" spans="2:4" x14ac:dyDescent="0.25">
      <c r="B27" t="str">
        <v>Gangadutt Ragha</v>
      </c>
      <c r="C27">
        <v>88050</v>
      </c>
      <c r="D27" t="str">
        <v>Poor</v>
      </c>
    </row>
    <row r="28" spans="2:4" x14ac:dyDescent="0.25">
      <c r="B28" t="str">
        <v>Merrilee Plenty</v>
      </c>
      <c r="C28">
        <v>87620</v>
      </c>
      <c r="D28" t="str">
        <v>Average</v>
      </c>
    </row>
    <row r="29" spans="2:4" x14ac:dyDescent="0.25">
      <c r="B29" t="str">
        <v>Godavari Veena</v>
      </c>
      <c r="C29">
        <v>87620</v>
      </c>
      <c r="D29" t="str">
        <v>Average</v>
      </c>
    </row>
    <row r="30" spans="2:4" x14ac:dyDescent="0.25">
      <c r="B30" t="str">
        <v>Agnes Collicott</v>
      </c>
      <c r="C30">
        <v>83750</v>
      </c>
      <c r="D30" t="str">
        <v>Average</v>
      </c>
    </row>
    <row r="31" spans="2:4" x14ac:dyDescent="0.25">
      <c r="B31" t="str">
        <v>Kunja Prashanta Vibha</v>
      </c>
      <c r="C31">
        <v>83750</v>
      </c>
      <c r="D31" t="str">
        <v>Average</v>
      </c>
    </row>
    <row r="32" spans="2:4" x14ac:dyDescent="0.25">
      <c r="B32" t="str">
        <v>Van Tuxwell</v>
      </c>
      <c r="C32">
        <v>80700</v>
      </c>
      <c r="D32" t="str">
        <v>Above average</v>
      </c>
    </row>
    <row r="33" spans="2:4" x14ac:dyDescent="0.25">
      <c r="B33" t="str">
        <v>Bhuvan Pals</v>
      </c>
      <c r="C33">
        <v>80700</v>
      </c>
      <c r="D33" t="str">
        <v>Above average</v>
      </c>
    </row>
    <row r="34" spans="2:4" x14ac:dyDescent="0.25">
      <c r="B34" t="str">
        <v>Camilla Castle</v>
      </c>
      <c r="C34">
        <v>75480</v>
      </c>
      <c r="D34" t="str">
        <v>Very poor</v>
      </c>
    </row>
    <row r="35" spans="2:4" x14ac:dyDescent="0.25">
      <c r="B35" t="str">
        <v>Ayog Chakrabarti</v>
      </c>
      <c r="C35">
        <v>75480</v>
      </c>
      <c r="D35" t="str">
        <v>Very poor</v>
      </c>
    </row>
    <row r="36" spans="2:4" x14ac:dyDescent="0.25">
      <c r="B36" t="str">
        <v>Elia Cockton</v>
      </c>
      <c r="C36">
        <v>75280</v>
      </c>
      <c r="D36" t="str">
        <v>Average</v>
      </c>
    </row>
    <row r="37" spans="2:4" x14ac:dyDescent="0.25">
      <c r="B37" t="str">
        <v>Hemavati Muthiah</v>
      </c>
      <c r="C37">
        <v>75280</v>
      </c>
      <c r="D37" t="str">
        <v>Average</v>
      </c>
    </row>
    <row r="38" spans="2:4" x14ac:dyDescent="0.25">
      <c r="B38" t="str">
        <v>Myer McCory</v>
      </c>
      <c r="C38">
        <v>69710</v>
      </c>
      <c r="D38" t="str">
        <v>Average</v>
      </c>
    </row>
    <row r="39" spans="2:4" x14ac:dyDescent="0.25">
      <c r="B39" t="str">
        <v>Shekhar Eswara</v>
      </c>
      <c r="C39">
        <v>69710</v>
      </c>
      <c r="D39" t="str">
        <v>Average</v>
      </c>
    </row>
    <row r="40" spans="2:4" x14ac:dyDescent="0.25">
      <c r="B40" t="str">
        <v>Andria Kimpton</v>
      </c>
      <c r="C40">
        <v>69120</v>
      </c>
      <c r="D40" t="str">
        <v>Average</v>
      </c>
    </row>
    <row r="41" spans="2:4" x14ac:dyDescent="0.25">
      <c r="B41" t="str">
        <v>Rameshwari Chikodi</v>
      </c>
      <c r="C41">
        <v>69120</v>
      </c>
      <c r="D41" t="str">
        <v>Average</v>
      </c>
    </row>
    <row r="42" spans="2:4" x14ac:dyDescent="0.25">
      <c r="B42" t="str">
        <v>Murry Dryburgh</v>
      </c>
      <c r="C42">
        <v>69070</v>
      </c>
      <c r="D42" t="str">
        <v>Average</v>
      </c>
    </row>
    <row r="43" spans="2:4" x14ac:dyDescent="0.25">
      <c r="B43" t="str">
        <v>Jaishree Atasi Yavatkar</v>
      </c>
      <c r="C43">
        <v>69070</v>
      </c>
      <c r="D43" t="str">
        <v>Average</v>
      </c>
    </row>
    <row r="44" spans="2:4" x14ac:dyDescent="0.25">
      <c r="B44" t="str">
        <v>Vic Radolf</v>
      </c>
      <c r="C44">
        <v>62780</v>
      </c>
      <c r="D44" t="str">
        <v>Average</v>
      </c>
    </row>
    <row r="45" spans="2:4" x14ac:dyDescent="0.25">
      <c r="B45" t="str">
        <v>Fullara Sushanti Mokate</v>
      </c>
      <c r="C45">
        <v>62780</v>
      </c>
      <c r="D45" t="str">
        <v>Average</v>
      </c>
    </row>
    <row r="46" spans="2:4" x14ac:dyDescent="0.25">
      <c r="B46" t="str">
        <v>Brien Boise</v>
      </c>
      <c r="C46">
        <v>58100</v>
      </c>
      <c r="D46" t="str">
        <v>Average</v>
      </c>
    </row>
    <row r="47" spans="2:4" x14ac:dyDescent="0.25">
      <c r="B47" t="str">
        <v>Pratigya Rema</v>
      </c>
      <c r="C47">
        <v>58100</v>
      </c>
      <c r="D47" t="str">
        <v>Average</v>
      </c>
    </row>
    <row r="48" spans="2:4" x14ac:dyDescent="0.25">
      <c r="B48" t="str">
        <v>William Reeveley</v>
      </c>
      <c r="C48">
        <v>53870</v>
      </c>
      <c r="D48" t="str">
        <v>Average</v>
      </c>
    </row>
    <row r="49" spans="2:4" x14ac:dyDescent="0.25">
      <c r="B49" t="str">
        <v>Pragya Nilufar</v>
      </c>
      <c r="C49">
        <v>53870</v>
      </c>
      <c r="D49" t="str">
        <v>Average</v>
      </c>
    </row>
    <row r="50" spans="2:4" x14ac:dyDescent="0.25">
      <c r="B50" t="str">
        <v>Gunar Cockshoot</v>
      </c>
      <c r="C50">
        <v>48950</v>
      </c>
      <c r="D50" t="str">
        <v>Average</v>
      </c>
    </row>
    <row r="51" spans="2:4" x14ac:dyDescent="0.25">
      <c r="B51" t="str">
        <v>Amal Nimesh</v>
      </c>
      <c r="C51">
        <v>48950</v>
      </c>
      <c r="D51" t="str">
        <v>Average</v>
      </c>
    </row>
    <row r="52" spans="2:4" x14ac:dyDescent="0.25">
      <c r="B52" t="str">
        <v>Kassi Jonson</v>
      </c>
      <c r="C52">
        <v>43840</v>
      </c>
      <c r="D52" t="str">
        <v>Above average</v>
      </c>
    </row>
    <row r="53" spans="2:4" x14ac:dyDescent="0.25">
      <c r="B53" t="str">
        <v>Yagna Sujeev</v>
      </c>
      <c r="C53">
        <v>43840</v>
      </c>
      <c r="D53" t="str">
        <v>Above average</v>
      </c>
    </row>
    <row r="54" spans="2:4" x14ac:dyDescent="0.25">
      <c r="B54" t="str">
        <v>Dotty Strutley</v>
      </c>
      <c r="C54">
        <v>41980</v>
      </c>
      <c r="D54" t="str">
        <v>Average</v>
      </c>
    </row>
    <row r="55" spans="2:4" x14ac:dyDescent="0.25">
      <c r="B55" t="str">
        <v>Jagajeet Viraj</v>
      </c>
      <c r="C55">
        <v>41980</v>
      </c>
      <c r="D55" t="str">
        <v>Average</v>
      </c>
    </row>
    <row r="56" spans="2:4" x14ac:dyDescent="0.25">
      <c r="B56" t="str">
        <v>Niall Selesnick</v>
      </c>
      <c r="C56">
        <v>34980</v>
      </c>
      <c r="D56" t="str">
        <v>Average</v>
      </c>
    </row>
    <row r="57" spans="2:4" x14ac:dyDescent="0.25">
      <c r="B57" t="str">
        <v>Gretchen Callow</v>
      </c>
      <c r="C57">
        <v>33920</v>
      </c>
      <c r="D57" t="str">
        <v>Average</v>
      </c>
    </row>
    <row r="58" spans="2:4" x14ac:dyDescent="0.25">
      <c r="B58" t="str">
        <v>Shubhra Potla</v>
      </c>
      <c r="C58">
        <v>20000</v>
      </c>
      <c r="D58" t="str">
        <v>Average</v>
      </c>
    </row>
    <row r="59" spans="2:4" x14ac:dyDescent="0.25">
      <c r="B59" t="str">
        <v>Suchira Bhanupriya Tapti</v>
      </c>
      <c r="C59">
        <v>18000</v>
      </c>
      <c r="D59" t="str">
        <v>Average</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D304A-9F2D-4852-A703-09E25E983C33}">
  <dimension ref="B4:D10"/>
  <sheetViews>
    <sheetView zoomScale="160" zoomScaleNormal="160" workbookViewId="0">
      <selection activeCell="O5" sqref="O5"/>
    </sheetView>
  </sheetViews>
  <sheetFormatPr defaultRowHeight="15" x14ac:dyDescent="0.25"/>
  <cols>
    <col min="2" max="2" width="14.28515625" bestFit="1" customWidth="1"/>
    <col min="3" max="3" width="14.42578125" bestFit="1" customWidth="1"/>
    <col min="4" max="4" width="16.42578125" bestFit="1" customWidth="1"/>
  </cols>
  <sheetData>
    <row r="4" spans="2:4" x14ac:dyDescent="0.25">
      <c r="B4" s="44" t="s">
        <v>256</v>
      </c>
      <c r="C4" t="s">
        <v>260</v>
      </c>
      <c r="D4" t="s">
        <v>258</v>
      </c>
    </row>
    <row r="5" spans="2:4" x14ac:dyDescent="0.25">
      <c r="B5" s="45" t="s">
        <v>10</v>
      </c>
      <c r="C5" s="9">
        <v>4</v>
      </c>
      <c r="D5" s="49">
        <v>92080</v>
      </c>
    </row>
    <row r="6" spans="2:4" x14ac:dyDescent="0.25">
      <c r="B6" s="45" t="s">
        <v>24</v>
      </c>
      <c r="C6" s="9">
        <v>16</v>
      </c>
      <c r="D6" s="49">
        <v>78115</v>
      </c>
    </row>
    <row r="7" spans="2:4" x14ac:dyDescent="0.25">
      <c r="B7" s="45" t="s">
        <v>42</v>
      </c>
      <c r="C7" s="9">
        <v>6</v>
      </c>
      <c r="D7" s="49">
        <v>77423.333333333328</v>
      </c>
    </row>
    <row r="8" spans="2:4" x14ac:dyDescent="0.25">
      <c r="B8" s="45" t="s">
        <v>16</v>
      </c>
      <c r="C8" s="9">
        <v>138</v>
      </c>
      <c r="D8" s="49">
        <v>77058.55072463768</v>
      </c>
    </row>
    <row r="9" spans="2:4" x14ac:dyDescent="0.25">
      <c r="B9" s="45" t="s">
        <v>13</v>
      </c>
      <c r="C9" s="9">
        <v>20</v>
      </c>
      <c r="D9" s="49">
        <v>75933</v>
      </c>
    </row>
    <row r="10" spans="2:4" x14ac:dyDescent="0.25">
      <c r="B10" s="45" t="s">
        <v>257</v>
      </c>
      <c r="C10" s="9">
        <v>184</v>
      </c>
      <c r="D10" s="49">
        <v>77366.521739130432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260B3-D9B1-4EBA-83BC-A8D3C6F38508}">
  <dimension ref="B3:C19"/>
  <sheetViews>
    <sheetView workbookViewId="0">
      <selection activeCell="O5" sqref="O5"/>
    </sheetView>
  </sheetViews>
  <sheetFormatPr defaultRowHeight="15" x14ac:dyDescent="0.25"/>
  <cols>
    <col min="2" max="2" width="13.140625" bestFit="1" customWidth="1"/>
    <col min="3" max="3" width="14.42578125" bestFit="1" customWidth="1"/>
  </cols>
  <sheetData>
    <row r="3" spans="2:3" x14ac:dyDescent="0.25">
      <c r="B3" s="44" t="s">
        <v>256</v>
      </c>
      <c r="C3" t="s">
        <v>260</v>
      </c>
    </row>
    <row r="4" spans="2:3" x14ac:dyDescent="0.25">
      <c r="B4" s="45" t="s">
        <v>9</v>
      </c>
      <c r="C4" s="9">
        <v>28</v>
      </c>
    </row>
    <row r="5" spans="2:3" x14ac:dyDescent="0.25">
      <c r="B5" s="45" t="s">
        <v>12</v>
      </c>
      <c r="C5" s="9">
        <v>27</v>
      </c>
    </row>
    <row r="6" spans="2:3" x14ac:dyDescent="0.25">
      <c r="B6" s="45" t="s">
        <v>21</v>
      </c>
      <c r="C6" s="9">
        <v>19</v>
      </c>
    </row>
    <row r="7" spans="2:3" x14ac:dyDescent="0.25">
      <c r="B7" s="45" t="s">
        <v>19</v>
      </c>
      <c r="C7" s="9">
        <v>14</v>
      </c>
    </row>
    <row r="8" spans="2:3" x14ac:dyDescent="0.25">
      <c r="B8" s="45" t="s">
        <v>56</v>
      </c>
      <c r="C8" s="9">
        <v>4</v>
      </c>
    </row>
    <row r="9" spans="2:3" x14ac:dyDescent="0.25">
      <c r="B9" s="45" t="s">
        <v>257</v>
      </c>
      <c r="C9" s="9">
        <v>92</v>
      </c>
    </row>
    <row r="13" spans="2:3" x14ac:dyDescent="0.25">
      <c r="B13" s="44" t="s">
        <v>256</v>
      </c>
      <c r="C13" t="s">
        <v>260</v>
      </c>
    </row>
    <row r="14" spans="2:3" x14ac:dyDescent="0.25">
      <c r="B14" s="45" t="s">
        <v>9</v>
      </c>
      <c r="C14" s="9">
        <v>28</v>
      </c>
    </row>
    <row r="15" spans="2:3" x14ac:dyDescent="0.25">
      <c r="B15" s="45" t="s">
        <v>12</v>
      </c>
      <c r="C15" s="9">
        <v>27</v>
      </c>
    </row>
    <row r="16" spans="2:3" x14ac:dyDescent="0.25">
      <c r="B16" s="45" t="s">
        <v>21</v>
      </c>
      <c r="C16" s="9">
        <v>19</v>
      </c>
    </row>
    <row r="17" spans="2:3" x14ac:dyDescent="0.25">
      <c r="B17" s="45" t="s">
        <v>19</v>
      </c>
      <c r="C17" s="9">
        <v>14</v>
      </c>
    </row>
    <row r="18" spans="2:3" x14ac:dyDescent="0.25">
      <c r="B18" s="45" t="s">
        <v>56</v>
      </c>
      <c r="C18" s="9">
        <v>4</v>
      </c>
    </row>
    <row r="19" spans="2:3" x14ac:dyDescent="0.25">
      <c r="B19" s="45" t="s">
        <v>257</v>
      </c>
      <c r="C19" s="9">
        <v>92</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84B9E-0C46-4901-84B2-B49FA91293B0}">
  <sheetPr>
    <tabColor rgb="FF7030A0"/>
  </sheetPr>
  <dimension ref="B1:O30"/>
  <sheetViews>
    <sheetView showGridLines="0" tabSelected="1" zoomScale="55" zoomScaleNormal="55" workbookViewId="0">
      <selection activeCell="K34" sqref="K34"/>
    </sheetView>
  </sheetViews>
  <sheetFormatPr defaultRowHeight="15" x14ac:dyDescent="0.25"/>
  <cols>
    <col min="2" max="4" width="46.85546875" hidden="1" customWidth="1"/>
    <col min="5" max="5" width="31.85546875" customWidth="1"/>
    <col min="6" max="6" width="8.85546875" customWidth="1"/>
    <col min="7" max="7" width="31.85546875" customWidth="1"/>
    <col min="8" max="8" width="8.85546875" customWidth="1"/>
    <col min="9" max="9" width="37" customWidth="1"/>
    <col min="11" max="11" width="31.85546875" customWidth="1"/>
    <col min="12" max="12" width="8.85546875" customWidth="1"/>
    <col min="13" max="13" width="31.85546875" customWidth="1"/>
    <col min="14" max="14" width="8.85546875" customWidth="1"/>
    <col min="15" max="15" width="33.42578125" customWidth="1"/>
  </cols>
  <sheetData>
    <row r="1" spans="5:15" ht="55.5" customHeight="1" x14ac:dyDescent="0.25">
      <c r="E1" s="59" t="s">
        <v>303</v>
      </c>
      <c r="F1" s="59"/>
      <c r="G1" s="59"/>
      <c r="H1" s="59"/>
      <c r="I1" s="59"/>
      <c r="K1" s="60" t="s">
        <v>304</v>
      </c>
      <c r="L1" s="60"/>
      <c r="M1" s="60"/>
      <c r="N1" s="60"/>
      <c r="O1" s="60"/>
    </row>
    <row r="2" spans="5:15" ht="49.5" customHeight="1" x14ac:dyDescent="0.25">
      <c r="E2" s="59"/>
      <c r="F2" s="59"/>
      <c r="G2" s="59"/>
      <c r="H2" s="59"/>
      <c r="I2" s="59"/>
      <c r="K2" s="60"/>
      <c r="L2" s="60"/>
      <c r="M2" s="60"/>
      <c r="N2" s="60"/>
      <c r="O2" s="60"/>
    </row>
    <row r="3" spans="5:15" ht="55.5" hidden="1" customHeight="1" x14ac:dyDescent="0.25">
      <c r="E3" s="59"/>
      <c r="F3" s="59"/>
      <c r="G3" s="59"/>
      <c r="H3" s="59"/>
      <c r="I3" s="59"/>
      <c r="K3" s="60"/>
      <c r="L3" s="60"/>
      <c r="M3" s="60"/>
      <c r="N3" s="60"/>
      <c r="O3" s="60"/>
    </row>
    <row r="5" spans="5:15" ht="135" customHeight="1" x14ac:dyDescent="0.25">
      <c r="E5" s="54">
        <f>COUNTIFS(staff[Country],"NZ")</f>
        <v>92</v>
      </c>
      <c r="G5" s="55">
        <f>COUNTIFS(staff[Country],"NZ",staff[Gender],"Female")/E5</f>
        <v>0.46739130434782611</v>
      </c>
      <c r="I5" s="56">
        <f>AVERAGEIFS(staff[Salary],staff[Country],"NZ")</f>
        <v>77366.521739130432</v>
      </c>
      <c r="K5" s="61">
        <f>COUNTIFS(staff[Country],"IND")</f>
        <v>90</v>
      </c>
      <c r="M5" s="62">
        <f>COUNTIFS(staff[Country],"IND",staff[Gender],"Female")/K5</f>
        <v>0.46666666666666667</v>
      </c>
      <c r="O5" s="63">
        <f>AVERAGEIFS(staff[Salary],staff[Country],"IND")</f>
        <v>76098.555555555562</v>
      </c>
    </row>
    <row r="7" spans="5:15" ht="55.5" customHeight="1" x14ac:dyDescent="0.25">
      <c r="E7" s="57" t="s">
        <v>302</v>
      </c>
      <c r="F7" s="57"/>
      <c r="G7" s="57"/>
      <c r="H7" s="57"/>
      <c r="I7" s="57"/>
      <c r="K7" s="64" t="s">
        <v>302</v>
      </c>
      <c r="L7" s="64"/>
      <c r="M7" s="64"/>
      <c r="N7" s="64"/>
      <c r="O7" s="64"/>
    </row>
    <row r="8" spans="5:15" ht="30" customHeight="1" x14ac:dyDescent="0.25">
      <c r="E8" s="58"/>
      <c r="F8" s="58"/>
      <c r="G8" s="58"/>
      <c r="H8" s="58"/>
      <c r="I8" s="58"/>
      <c r="K8" s="65"/>
      <c r="L8" s="65"/>
      <c r="M8" s="65"/>
      <c r="N8" s="65"/>
      <c r="O8" s="65"/>
    </row>
    <row r="9" spans="5:15" x14ac:dyDescent="0.25">
      <c r="E9" s="53"/>
      <c r="F9" s="53"/>
      <c r="G9" s="53"/>
      <c r="H9" s="53"/>
      <c r="I9" s="53"/>
      <c r="K9" s="53"/>
      <c r="L9" s="53"/>
      <c r="M9" s="53"/>
      <c r="N9" s="53"/>
      <c r="O9" s="53"/>
    </row>
    <row r="10" spans="5:15" x14ac:dyDescent="0.25">
      <c r="E10" s="53"/>
      <c r="F10" s="53"/>
      <c r="G10" s="53"/>
      <c r="H10" s="53"/>
      <c r="I10" s="53"/>
      <c r="K10" s="53"/>
      <c r="L10" s="53"/>
      <c r="M10" s="53"/>
      <c r="N10" s="53"/>
      <c r="O10" s="53"/>
    </row>
    <row r="11" spans="5:15" x14ac:dyDescent="0.25">
      <c r="E11" s="53"/>
      <c r="F11" s="53"/>
      <c r="G11" s="53"/>
      <c r="H11" s="53"/>
      <c r="I11" s="53"/>
      <c r="K11" s="53"/>
      <c r="L11" s="53"/>
      <c r="M11" s="53"/>
      <c r="N11" s="53"/>
      <c r="O11" s="53"/>
    </row>
    <row r="12" spans="5:15" x14ac:dyDescent="0.25">
      <c r="E12" s="53"/>
      <c r="F12" s="53"/>
      <c r="G12" s="53"/>
      <c r="H12" s="53"/>
      <c r="I12" s="53"/>
      <c r="K12" s="53"/>
      <c r="L12" s="53"/>
      <c r="M12" s="53"/>
      <c r="N12" s="53"/>
      <c r="O12" s="53"/>
    </row>
    <row r="13" spans="5:15" x14ac:dyDescent="0.25">
      <c r="E13" s="53"/>
      <c r="F13" s="53"/>
      <c r="G13" s="53"/>
      <c r="H13" s="53"/>
      <c r="I13" s="53"/>
      <c r="K13" s="53"/>
      <c r="L13" s="53"/>
      <c r="M13" s="53"/>
      <c r="N13" s="53"/>
      <c r="O13" s="53"/>
    </row>
    <row r="14" spans="5:15" x14ac:dyDescent="0.25">
      <c r="E14" s="53"/>
      <c r="F14" s="53"/>
      <c r="G14" s="53"/>
      <c r="H14" s="53"/>
      <c r="I14" s="53"/>
      <c r="K14" s="53"/>
      <c r="L14" s="53"/>
      <c r="M14" s="53"/>
      <c r="N14" s="53"/>
      <c r="O14" s="53"/>
    </row>
    <row r="15" spans="5:15" x14ac:dyDescent="0.25">
      <c r="E15" s="53"/>
      <c r="F15" s="53"/>
      <c r="G15" s="53"/>
      <c r="H15" s="53"/>
      <c r="I15" s="53"/>
      <c r="K15" s="53"/>
      <c r="L15" s="53"/>
      <c r="M15" s="53"/>
      <c r="N15" s="53"/>
      <c r="O15" s="53"/>
    </row>
    <row r="16" spans="5:15" x14ac:dyDescent="0.25">
      <c r="E16" s="53"/>
      <c r="F16" s="53"/>
      <c r="G16" s="53"/>
      <c r="H16" s="53"/>
      <c r="I16" s="53"/>
      <c r="K16" s="53"/>
      <c r="L16" s="53"/>
      <c r="M16" s="53"/>
      <c r="N16" s="53"/>
      <c r="O16" s="53"/>
    </row>
    <row r="17" spans="5:15" x14ac:dyDescent="0.25">
      <c r="E17" s="53"/>
      <c r="F17" s="53"/>
      <c r="G17" s="53"/>
      <c r="H17" s="53"/>
      <c r="I17" s="53"/>
      <c r="K17" s="53"/>
      <c r="L17" s="53"/>
      <c r="M17" s="53"/>
      <c r="N17" s="53"/>
      <c r="O17" s="53"/>
    </row>
    <row r="18" spans="5:15" x14ac:dyDescent="0.25">
      <c r="E18" s="53"/>
      <c r="F18" s="53"/>
      <c r="G18" s="53"/>
      <c r="H18" s="53"/>
      <c r="I18" s="53"/>
      <c r="K18" s="53"/>
      <c r="L18" s="53"/>
      <c r="M18" s="53"/>
      <c r="N18" s="53"/>
      <c r="O18" s="53"/>
    </row>
    <row r="19" spans="5:15" x14ac:dyDescent="0.25">
      <c r="E19" s="53"/>
      <c r="F19" s="53"/>
      <c r="G19" s="53"/>
      <c r="H19" s="53"/>
      <c r="I19" s="53"/>
      <c r="K19" s="53"/>
      <c r="L19" s="53"/>
      <c r="M19" s="53"/>
      <c r="N19" s="53"/>
      <c r="O19" s="53"/>
    </row>
    <row r="20" spans="5:15" x14ac:dyDescent="0.25">
      <c r="E20" s="53"/>
      <c r="F20" s="53"/>
      <c r="G20" s="53"/>
      <c r="H20" s="53"/>
      <c r="I20" s="53"/>
      <c r="K20" s="53"/>
      <c r="L20" s="53"/>
      <c r="M20" s="53"/>
      <c r="N20" s="53"/>
      <c r="O20" s="53"/>
    </row>
    <row r="21" spans="5:15" x14ac:dyDescent="0.25">
      <c r="E21" s="53"/>
      <c r="F21" s="53"/>
      <c r="G21" s="53"/>
      <c r="H21" s="53"/>
      <c r="I21" s="53"/>
      <c r="K21" s="53"/>
      <c r="L21" s="53"/>
      <c r="M21" s="53"/>
      <c r="N21" s="53"/>
      <c r="O21" s="53"/>
    </row>
    <row r="22" spans="5:15" x14ac:dyDescent="0.25">
      <c r="E22" s="53"/>
      <c r="F22" s="53"/>
      <c r="G22" s="53"/>
      <c r="H22" s="53"/>
      <c r="I22" s="53"/>
      <c r="K22" s="53"/>
      <c r="L22" s="53"/>
      <c r="M22" s="53"/>
      <c r="N22" s="53"/>
      <c r="O22" s="53"/>
    </row>
    <row r="23" spans="5:15" x14ac:dyDescent="0.25">
      <c r="E23" s="53"/>
      <c r="F23" s="53"/>
      <c r="G23" s="53"/>
      <c r="H23" s="53"/>
      <c r="I23" s="53"/>
      <c r="K23" s="53"/>
      <c r="L23" s="53"/>
      <c r="M23" s="53"/>
      <c r="N23" s="53"/>
      <c r="O23" s="53"/>
    </row>
    <row r="24" spans="5:15" x14ac:dyDescent="0.25">
      <c r="E24" s="53"/>
      <c r="F24" s="53"/>
      <c r="G24" s="53"/>
      <c r="H24" s="53"/>
      <c r="I24" s="53"/>
      <c r="K24" s="53"/>
      <c r="L24" s="53"/>
      <c r="M24" s="53"/>
      <c r="N24" s="53"/>
      <c r="O24" s="53"/>
    </row>
    <row r="25" spans="5:15" x14ac:dyDescent="0.25">
      <c r="E25" s="53"/>
      <c r="F25" s="53"/>
      <c r="G25" s="53"/>
      <c r="H25" s="53"/>
      <c r="I25" s="53"/>
      <c r="K25" s="53"/>
      <c r="L25" s="53"/>
      <c r="M25" s="53"/>
      <c r="N25" s="53"/>
      <c r="O25" s="53"/>
    </row>
    <row r="26" spans="5:15" x14ac:dyDescent="0.25">
      <c r="E26" s="53"/>
      <c r="F26" s="53"/>
      <c r="G26" s="53"/>
      <c r="H26" s="53"/>
      <c r="I26" s="53"/>
      <c r="K26" s="53"/>
      <c r="L26" s="53"/>
      <c r="M26" s="53"/>
      <c r="N26" s="53"/>
      <c r="O26" s="53"/>
    </row>
    <row r="27" spans="5:15" x14ac:dyDescent="0.25">
      <c r="E27" s="53"/>
      <c r="F27" s="53"/>
      <c r="G27" s="53"/>
      <c r="H27" s="53"/>
      <c r="I27" s="53"/>
      <c r="K27" s="53"/>
      <c r="L27" s="53"/>
      <c r="M27" s="53"/>
      <c r="N27" s="53"/>
      <c r="O27" s="53"/>
    </row>
    <row r="28" spans="5:15" x14ac:dyDescent="0.25">
      <c r="E28" s="53"/>
      <c r="F28" s="53"/>
      <c r="G28" s="53"/>
      <c r="H28" s="53"/>
      <c r="I28" s="53"/>
      <c r="K28" s="53"/>
      <c r="L28" s="53"/>
      <c r="M28" s="53"/>
      <c r="N28" s="53"/>
      <c r="O28" s="53"/>
    </row>
    <row r="29" spans="5:15" x14ac:dyDescent="0.25">
      <c r="E29" s="53"/>
      <c r="F29" s="53"/>
      <c r="G29" s="53"/>
      <c r="H29" s="53"/>
      <c r="I29" s="53"/>
      <c r="K29" s="53"/>
      <c r="L29" s="53"/>
      <c r="M29" s="53"/>
      <c r="N29" s="53"/>
      <c r="O29" s="53"/>
    </row>
    <row r="30" spans="5:15" x14ac:dyDescent="0.25">
      <c r="E30" s="53"/>
      <c r="F30" s="53"/>
      <c r="G30" s="53"/>
      <c r="H30" s="53"/>
      <c r="I30" s="53"/>
      <c r="K30" s="53"/>
      <c r="L30" s="53"/>
      <c r="M30" s="53"/>
      <c r="N30" s="53"/>
      <c r="O30" s="53"/>
    </row>
  </sheetData>
  <mergeCells count="4">
    <mergeCell ref="E7:I8"/>
    <mergeCell ref="K7:O8"/>
    <mergeCell ref="E1:I3"/>
    <mergeCell ref="K1:O3"/>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1010370-CC52-430D-83AF-0A9EEB2D1EC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Data</vt:lpstr>
      <vt:lpstr>India Staff</vt:lpstr>
      <vt:lpstr>TABLE1</vt:lpstr>
      <vt:lpstr>TABLE2</vt:lpstr>
      <vt:lpstr>TASKS</vt:lpstr>
      <vt:lpstr>malevsfemale</vt:lpstr>
      <vt:lpstr>ALLDATA</vt:lpstr>
      <vt:lpstr>Salary Spread</vt:lpstr>
      <vt:lpstr>SERIE_TENURE</vt:lpstr>
      <vt:lpstr>Finder</vt:lpstr>
      <vt:lpstr>salary vs rating</vt:lpstr>
      <vt:lpstr>CARD_PIVOTS</vt:lpstr>
      <vt:lpstr>CARDS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Polo</cp:lastModifiedBy>
  <dcterms:created xsi:type="dcterms:W3CDTF">2021-03-14T20:21:32Z</dcterms:created>
  <dcterms:modified xsi:type="dcterms:W3CDTF">2024-03-15T07:54:50Z</dcterms:modified>
</cp:coreProperties>
</file>